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1760" activeTab="1"/>
  </bookViews>
  <sheets>
    <sheet name="RAZEM" sheetId="1" r:id="rId1"/>
    <sheet name="SFR" sheetId="2" r:id="rId2"/>
    <sheet name="N01" sheetId="3" r:id="rId3"/>
    <sheet name="N02" sheetId="4" r:id="rId4"/>
    <sheet name="N03" sheetId="5" r:id="rId5"/>
    <sheet name="N04" sheetId="6" r:id="rId6"/>
    <sheet name="N06" sheetId="7" r:id="rId7"/>
    <sheet name="N07" sheetId="8" r:id="rId8"/>
    <sheet name="N08" sheetId="9" r:id="rId9"/>
    <sheet name="N09" sheetId="10" r:id="rId10"/>
    <sheet name="N18" sheetId="11" r:id="rId11"/>
    <sheet name="GARAŻE N01" sheetId="12" r:id="rId12"/>
    <sheet name="GARAŻE N02" sheetId="13" r:id="rId13"/>
    <sheet name="GARAŻE N04" sheetId="14" r:id="rId14"/>
    <sheet name="GARAŻE N06" sheetId="15" r:id="rId15"/>
    <sheet name="DŹWIGI N01" sheetId="16" r:id="rId16"/>
    <sheet name="DŹWIGI N03" sheetId="17" r:id="rId17"/>
    <sheet name="DŹWIGI N04" sheetId="18" r:id="rId18"/>
    <sheet name="DŹWIGI N06" sheetId="19" r:id="rId19"/>
    <sheet name="DŹWIGI N07" sheetId="20" r:id="rId20"/>
    <sheet name="DŹWIGI N18" sheetId="21" r:id="rId21"/>
    <sheet name="Arkusz3" sheetId="22" r:id="rId22"/>
  </sheets>
  <definedNames>
    <definedName name="_xlnm.Print_Titles" localSheetId="15">'DŹWIGI N01'!$1:$7</definedName>
    <definedName name="_xlnm.Print_Titles" localSheetId="16">'DŹWIGI N03'!$1:$7</definedName>
    <definedName name="_xlnm.Print_Titles" localSheetId="17">'DŹWIGI N04'!$1:$7</definedName>
    <definedName name="_xlnm.Print_Titles" localSheetId="18">'DŹWIGI N06'!$1:$7</definedName>
    <definedName name="_xlnm.Print_Titles" localSheetId="19">'DŹWIGI N07'!$1:$7</definedName>
    <definedName name="_xlnm.Print_Titles" localSheetId="20">'DŹWIGI N18'!$1:$7</definedName>
    <definedName name="_xlnm.Print_Titles" localSheetId="11">'GARAŻE N01'!$1:$7</definedName>
    <definedName name="_xlnm.Print_Titles" localSheetId="12">'GARAŻE N02'!$1:$7</definedName>
    <definedName name="_xlnm.Print_Titles" localSheetId="13">'GARAŻE N04'!$1:$7</definedName>
    <definedName name="_xlnm.Print_Titles" localSheetId="14">'GARAŻE N06'!$1:$7</definedName>
    <definedName name="_xlnm.Print_Titles" localSheetId="2">'N01'!$1:$7</definedName>
    <definedName name="_xlnm.Print_Titles" localSheetId="3">'N02'!$1:$7</definedName>
    <definedName name="_xlnm.Print_Titles" localSheetId="4">'N03'!$1:$7</definedName>
    <definedName name="_xlnm.Print_Titles" localSheetId="5">'N04'!$1:$7</definedName>
    <definedName name="_xlnm.Print_Titles" localSheetId="6">'N06'!$1:$7</definedName>
    <definedName name="_xlnm.Print_Titles" localSheetId="7">'N07'!$1:$7</definedName>
    <definedName name="_xlnm.Print_Titles" localSheetId="8">'N08'!$1:$7</definedName>
    <definedName name="_xlnm.Print_Titles" localSheetId="9">'N09'!$1:$7</definedName>
    <definedName name="_xlnm.Print_Titles" localSheetId="10">'N18'!$1:$7</definedName>
    <definedName name="_xlnm.Print_Titles" localSheetId="0">'RAZEM'!$1:$7</definedName>
    <definedName name="_xlnm.Print_Titles" localSheetId="1">'SFR'!$1:$7</definedName>
  </definedNames>
  <calcPr fullCalcOnLoad="1"/>
</workbook>
</file>

<file path=xl/sharedStrings.xml><?xml version="1.0" encoding="utf-8"?>
<sst xmlns="http://schemas.openxmlformats.org/spreadsheetml/2006/main" count="1057" uniqueCount="242">
  <si>
    <t>Adres</t>
  </si>
  <si>
    <t>Opis robót remontowych</t>
  </si>
  <si>
    <t>Uwagi</t>
  </si>
  <si>
    <t>Obcy</t>
  </si>
  <si>
    <t>Ekipa</t>
  </si>
  <si>
    <t>WSM Adm. Osiedla "MŁOCINY"</t>
  </si>
  <si>
    <t>m2</t>
  </si>
  <si>
    <t>zł/m2</t>
  </si>
  <si>
    <t>stawka =</t>
  </si>
  <si>
    <t>L.p.</t>
  </si>
  <si>
    <t>Zakres plan.</t>
  </si>
  <si>
    <t>Zakres wyk.</t>
  </si>
  <si>
    <t>Wartość plan.</t>
  </si>
  <si>
    <t>Wartość wyk.</t>
  </si>
  <si>
    <t>Termin plan.</t>
  </si>
  <si>
    <t>Termin wyk.</t>
  </si>
  <si>
    <t>Wyk. robót</t>
  </si>
  <si>
    <t>pow. użyt. lokali mieszkalnych =</t>
  </si>
  <si>
    <t>Szegedyńska 10</t>
  </si>
  <si>
    <t>Wrzeciono 12</t>
  </si>
  <si>
    <t>Rezerwa na awarie i roboty nieprzewidziane</t>
  </si>
  <si>
    <t>w tym:</t>
  </si>
  <si>
    <t>Przy Agorze 3</t>
  </si>
  <si>
    <t>N01</t>
  </si>
  <si>
    <t>N02</t>
  </si>
  <si>
    <t>N04</t>
  </si>
  <si>
    <t>N03</t>
  </si>
  <si>
    <t>ilość lokali =</t>
  </si>
  <si>
    <t>Szegedyńska 5A</t>
  </si>
  <si>
    <t>II. NALICZENIE ROCZNE funduszu remontowego nieruchomości:</t>
  </si>
  <si>
    <t>szt</t>
  </si>
  <si>
    <t>zł/lok</t>
  </si>
  <si>
    <t>Wrzeciono 52</t>
  </si>
  <si>
    <t>SFR</t>
  </si>
  <si>
    <t>Wrzeciono 6</t>
  </si>
  <si>
    <t>Rezerwa na awarie i roboty nieprzewidziane lok. użytkowych</t>
  </si>
  <si>
    <t>N08</t>
  </si>
  <si>
    <t>N18</t>
  </si>
  <si>
    <t>III. ODPIS na SFR:</t>
  </si>
  <si>
    <t>II. ODPIS z naliczenia funduszy remontowych nieruchomości:</t>
  </si>
  <si>
    <t>VIII. RAZEM WYDATKI:</t>
  </si>
  <si>
    <t>VII. ŚRODKI DO WYKORZYSTANIA (I+II+III+IV+VI):</t>
  </si>
  <si>
    <t>IV. DODATKOWE ZASILENIA:</t>
  </si>
  <si>
    <t>Wrzec. 57B/59-59C</t>
  </si>
  <si>
    <t>SCENTRALIZOWANY FUNDUSZ REMONTOWY OSIEDLA</t>
  </si>
  <si>
    <t>pow. garaży =</t>
  </si>
  <si>
    <t>Szegedyńska 5</t>
  </si>
  <si>
    <t>IV. DODATKOWE ZASILENIA (refundacja od mieszkańców):</t>
  </si>
  <si>
    <t>III. ODPIS 100% z naliczenia fun. remont. lokali użytkowych:</t>
  </si>
  <si>
    <t>Nieruchomość 01 - lokale mieszkalne</t>
  </si>
  <si>
    <t>Nieruchomość 02 - lokale mieszkalne</t>
  </si>
  <si>
    <t>Nieruchomość 03 - lokale mieszkalne</t>
  </si>
  <si>
    <t>Nieruchomość 04 - lokale mieszkalne</t>
  </si>
  <si>
    <t>Nieruchomość 06 - lokale mieszkalne</t>
  </si>
  <si>
    <t>Nieruchomość 07 - lokale mieszkalne</t>
  </si>
  <si>
    <t>Nieruchomość 08 - lokale mieszkalne</t>
  </si>
  <si>
    <t>Nieruchomość 09 - lokale mieszkalne</t>
  </si>
  <si>
    <t>Nieruchomość 018 - lokale mieszkalne</t>
  </si>
  <si>
    <t>Nieruchomość 01 - dźwigi</t>
  </si>
  <si>
    <t>Nieruchomość 03 - dźwigi</t>
  </si>
  <si>
    <t>Nieruchomość 04 - dźwigi</t>
  </si>
  <si>
    <t>Nieruchomość 06 - dźwigi</t>
  </si>
  <si>
    <t>Nieruchomość 07 - dźwigi</t>
  </si>
  <si>
    <t>RAZEM WSZYSTKIE FUNDUSZE</t>
  </si>
  <si>
    <t>N06</t>
  </si>
  <si>
    <t>N07</t>
  </si>
  <si>
    <t>N09</t>
  </si>
  <si>
    <t>GARAŻE</t>
  </si>
  <si>
    <t>DŹWIGI</t>
  </si>
  <si>
    <t>MIESZKANIA</t>
  </si>
  <si>
    <t>II. NALICZENIA funduszy remontowych nieruchomości:</t>
  </si>
  <si>
    <t>Rodzaj lokali</t>
  </si>
  <si>
    <t>Adresy</t>
  </si>
  <si>
    <t>Wrzeciono 6,8,8A,10</t>
  </si>
  <si>
    <t>Szegedyńska 4,8; Wrzeciono 50</t>
  </si>
  <si>
    <t>Szegedyńska 1,5,5A; Szubińska 6; Wrzeciono 52,54A</t>
  </si>
  <si>
    <t>Marymoncka 137/139; Wrzeciono 55,55A,57,57A</t>
  </si>
  <si>
    <t>Marymoncka 129,131</t>
  </si>
  <si>
    <t>Szegedyńska 5 ; Wrzeciono 52</t>
  </si>
  <si>
    <t>Wrzeciono 57B,59,59A,59B,59C</t>
  </si>
  <si>
    <t>Szegedyńska 2,6</t>
  </si>
  <si>
    <t>Wrzeciono 10A</t>
  </si>
  <si>
    <t>Nieruchomość 18 - dźwigi</t>
  </si>
  <si>
    <t>IV. DODATKOWE ZASILENIA (wg stawki 4,00 zł/lok):</t>
  </si>
  <si>
    <t>Nieruchomość N01 - garaże</t>
  </si>
  <si>
    <t>Nieruchomość N04 - garaże</t>
  </si>
  <si>
    <t>Nieruchomość N06 - garaże</t>
  </si>
  <si>
    <t>Nieruchomość N02 - garaże</t>
  </si>
  <si>
    <t>V. ZASILENIE z SFR:</t>
  </si>
  <si>
    <t>VI. ŚRODKI SFR-Osiedla DO WYKORZYSTANIA (I+II+III+IV+V+VI):</t>
  </si>
  <si>
    <t>VI. ŚRODKI DO WYKORZYSTANIA (I+II+III+IV+V+VI):</t>
  </si>
  <si>
    <t>V. ZASILENIE NIERUCHOMOŚCI z SFR:</t>
  </si>
  <si>
    <t>Nowa altanka śmietnikowa</t>
  </si>
  <si>
    <t xml:space="preserve"> </t>
  </si>
  <si>
    <t>Lokale użytkowe</t>
  </si>
  <si>
    <t>Szegedyńska 3A,7,9</t>
  </si>
  <si>
    <t>Marymoncka 129/131</t>
  </si>
  <si>
    <t>strona 1 z 21</t>
  </si>
  <si>
    <t>strona 2 z 21</t>
  </si>
  <si>
    <t>strona 3 z 21</t>
  </si>
  <si>
    <t>strona 4 z 21</t>
  </si>
  <si>
    <t>strona 5 z 21</t>
  </si>
  <si>
    <t>strona 6 z 21</t>
  </si>
  <si>
    <t>strona 7 z 21</t>
  </si>
  <si>
    <t>strona 8 z 21</t>
  </si>
  <si>
    <t>strona 9 z 21</t>
  </si>
  <si>
    <t>strona 10 z 21</t>
  </si>
  <si>
    <t>strona 11 z 21</t>
  </si>
  <si>
    <t>strona 12 z 21</t>
  </si>
  <si>
    <t>strona 13 z 21</t>
  </si>
  <si>
    <t>strona 14 z 21</t>
  </si>
  <si>
    <t>strona 15 z 21</t>
  </si>
  <si>
    <t>strona 16 z 21</t>
  </si>
  <si>
    <t>strona 17 z 21</t>
  </si>
  <si>
    <t>strona 18 z 21</t>
  </si>
  <si>
    <t>strona 19 z 21</t>
  </si>
  <si>
    <t>strona 20 z 21</t>
  </si>
  <si>
    <t>strona 21 z 21</t>
  </si>
  <si>
    <t>PLAN RZECZOWY NA ROK 2014</t>
  </si>
  <si>
    <t>Szegedyńska 4, 8</t>
  </si>
  <si>
    <t>Wymiana urządzeń na placu zabaw</t>
  </si>
  <si>
    <t>Przełożenie opaski wokół budynków</t>
  </si>
  <si>
    <t>Wrzec. 57B, 59-59C</t>
  </si>
  <si>
    <t>Wymiana pomp hydrofornii</t>
  </si>
  <si>
    <t>Legalizacja wodomiarów C.W. i Z.W.</t>
  </si>
  <si>
    <t>246 szt.</t>
  </si>
  <si>
    <t>430 szt</t>
  </si>
  <si>
    <t>Sz4, 8, Wrzeciono 50</t>
  </si>
  <si>
    <t>Naprawa dachu i obróbek blacharskich</t>
  </si>
  <si>
    <t>1 bud</t>
  </si>
  <si>
    <t>Wrzeciono 55A</t>
  </si>
  <si>
    <t>Wymiana instalacji wod-kan</t>
  </si>
  <si>
    <t>pow. użyt. lokali mieszkalnych (bez WSS SPOŁEM) =</t>
  </si>
  <si>
    <t>Docieplenie stropodachów</t>
  </si>
  <si>
    <t>Szeg. 4, 8, Wrz. 50</t>
  </si>
  <si>
    <t>Docieplenie stropodachu</t>
  </si>
  <si>
    <t>2160 m2</t>
  </si>
  <si>
    <t>Doposażenie placów zabaw</t>
  </si>
  <si>
    <t>2 place</t>
  </si>
  <si>
    <t>W10, W8</t>
  </si>
  <si>
    <t>650 m2</t>
  </si>
  <si>
    <t>Doposażenie placu zabaw</t>
  </si>
  <si>
    <t>720,6 m2</t>
  </si>
  <si>
    <t>Szegedyńska 4</t>
  </si>
  <si>
    <t>Marymoncka 137/139</t>
  </si>
  <si>
    <t>I. SALDO na dn. 01.01.2014:</t>
  </si>
  <si>
    <t>UŻYTKOWE</t>
  </si>
  <si>
    <t>Wrzeciono 10C, Szegedyńska 3, Przy Agorze 1</t>
  </si>
  <si>
    <t>Usunięcie przecieków w halach garażowych</t>
  </si>
  <si>
    <t>Wrzeciono 57B</t>
  </si>
  <si>
    <t>Wrzeciono 59-59C</t>
  </si>
  <si>
    <t>Wrzec 55,55A,57,57A</t>
  </si>
  <si>
    <t>1000 m2</t>
  </si>
  <si>
    <t>1496 m2</t>
  </si>
  <si>
    <t>m2         stawka =</t>
  </si>
  <si>
    <t>2,0 lub 1,20</t>
  </si>
  <si>
    <t>IV. SUMA DODATKOWYCH ZASILEŃ na dn. 31.12.2014:</t>
  </si>
  <si>
    <t>VI. SUMA ZASILEŃ Z SFR na dn. 31.12.2014:</t>
  </si>
  <si>
    <t>Roboty dekarskie</t>
  </si>
  <si>
    <t>Malowanie elewacji pawilonu przychodni ul. Wrzeciono 10C</t>
  </si>
  <si>
    <t>Wymiana okien w patio przychodni ul. Wrzeciono 10C</t>
  </si>
  <si>
    <t>Wymiana nawierzchni schodów na lastryko</t>
  </si>
  <si>
    <t>PROJEKT 6</t>
  </si>
  <si>
    <t>Demontaż ogrodzenia wzdłuż budynku od płn</t>
  </si>
  <si>
    <t>Modernizacja placu zabaw</t>
  </si>
  <si>
    <t>Inne drobne</t>
  </si>
  <si>
    <t>Straż Miejska</t>
  </si>
  <si>
    <t>Naprawy elewacji, wymiana kratek wentylac.</t>
  </si>
  <si>
    <t>Roboty drogowe, usunięcie stołu ping-pong</t>
  </si>
  <si>
    <t>Rezygnacja</t>
  </si>
  <si>
    <t>Prace drobne</t>
  </si>
  <si>
    <t>Wymiana instalacji elektrycznej</t>
  </si>
  <si>
    <t>Wrzeciono 8</t>
  </si>
  <si>
    <t>dokończ z 2013</t>
  </si>
  <si>
    <t>Naprawa elewacji, tarasów, logii, balkonów</t>
  </si>
  <si>
    <t xml:space="preserve">Doposażenie i konserwacja placów zabaw, </t>
  </si>
  <si>
    <t>Ogłoszenia do przetargu</t>
  </si>
  <si>
    <t>Roboty elektryczne</t>
  </si>
  <si>
    <t>Roboty dekarskie, elewacja, antyptaki</t>
  </si>
  <si>
    <t>Prace hydrauliczne</t>
  </si>
  <si>
    <t>kwota 1.258.500,00 zł zgodnie z uchwałą nr 68/2013 RN</t>
  </si>
  <si>
    <t>cała klatka</t>
  </si>
  <si>
    <t>rezygnacja</t>
  </si>
  <si>
    <t>Wymiana dźwigni okien uchylnych w świetlikach</t>
  </si>
  <si>
    <t>Szub. 6, Szeg 54A</t>
  </si>
  <si>
    <t>Wymiana inst. elektrycznej + projekt</t>
  </si>
  <si>
    <t>Wymiana instalacji elektrycznej + projekt</t>
  </si>
  <si>
    <t>Chodniki, drogi</t>
  </si>
  <si>
    <t>Montaż latarnii parkowych</t>
  </si>
  <si>
    <t>2 szt</t>
  </si>
  <si>
    <t>1 plac</t>
  </si>
  <si>
    <t>14 klatek</t>
  </si>
  <si>
    <t>13 klatek</t>
  </si>
  <si>
    <t>1 klatka</t>
  </si>
  <si>
    <t>Szeg4,8, Wrzec. 50</t>
  </si>
  <si>
    <t>4 szt</t>
  </si>
  <si>
    <t>Szeg 4,8</t>
  </si>
  <si>
    <t>Wrz 8, 8A, 10</t>
  </si>
  <si>
    <t>Wrz 8A, 10</t>
  </si>
  <si>
    <t>Remont gazonów</t>
  </si>
  <si>
    <t>Wrz 8, 8A</t>
  </si>
  <si>
    <t>Wrzeciono 6, 8A</t>
  </si>
  <si>
    <t>Pomalowanie klatki schodowej</t>
  </si>
  <si>
    <t>Roboty drogowe</t>
  </si>
  <si>
    <t>Roboty dekarskie, elewacja</t>
  </si>
  <si>
    <t>Remont hydrofornii</t>
  </si>
  <si>
    <t>Drogi, chodniki</t>
  </si>
  <si>
    <t>Wrzec 55,Mar 137/139</t>
  </si>
  <si>
    <t>Sz1,5,5A,54A, Szu6</t>
  </si>
  <si>
    <t>Nowa altanka śmietnikowa + projekt</t>
  </si>
  <si>
    <t>Wrz. 59A, 59B</t>
  </si>
  <si>
    <t>Marymoncka 129</t>
  </si>
  <si>
    <t>Wrzeciono 10B</t>
  </si>
  <si>
    <t>FUNDUSZE REMONTOWE NIERUCHOMOŚCI - WYKONANIE IV KW</t>
  </si>
  <si>
    <t>dn. 05.03.2015</t>
  </si>
  <si>
    <t>Szeg.5</t>
  </si>
  <si>
    <t>Roboty dekarskie, naprawy dachów</t>
  </si>
  <si>
    <t>Sz1,5,5A,6,W52,54A</t>
  </si>
  <si>
    <t>Szeg. 4</t>
  </si>
  <si>
    <t>Wymiana uszkodzonych płyt balkonowych</t>
  </si>
  <si>
    <t>Wrz 6, 8, 8A, 10</t>
  </si>
  <si>
    <t>Legalizacja ciepłomierzy</t>
  </si>
  <si>
    <t>Wrzec. 59C</t>
  </si>
  <si>
    <t>Naprawa falownika</t>
  </si>
  <si>
    <t>Wrzec. 59A</t>
  </si>
  <si>
    <t>Naprawa kabiny po dewastacji</t>
  </si>
  <si>
    <t>Wrzec. 59B</t>
  </si>
  <si>
    <t>Wymiana falownika</t>
  </si>
  <si>
    <t>Nadzór inwestorski</t>
  </si>
  <si>
    <t>Naprawy i remonty dachów, czyszczenie rynien</t>
  </si>
  <si>
    <t>I rata z uchwały nr 68/2013 RN</t>
  </si>
  <si>
    <t>Nadzór inwestorski nad wymianą inst. elektr.</t>
  </si>
  <si>
    <t>Wymiana pionu kanalizacyjnego</t>
  </si>
  <si>
    <t>Wrz. 8A</t>
  </si>
  <si>
    <t>Chodniki, drogi, inne drobne</t>
  </si>
  <si>
    <t>Naprawa przecieku na klatce schodowej</t>
  </si>
  <si>
    <t>Drogi, chodniki inne drobne</t>
  </si>
  <si>
    <t>Przychodnia</t>
  </si>
  <si>
    <t>awaryjnie</t>
  </si>
  <si>
    <t>wniosek mieszk.</t>
  </si>
  <si>
    <t>I rata z uchwały nr 68/2013 RN w kwocie 251.700,00</t>
  </si>
  <si>
    <t>IX. SALDO NA DN. 31.12.2014 (VII-VIII):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</si>
</sst>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5"/>
      <color indexed="12"/>
      <name val="Arial"/>
      <family val="0"/>
    </font>
    <font>
      <u val="single"/>
      <sz val="15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5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5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10" fillId="33" borderId="19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33" borderId="20" xfId="0" applyNumberFormat="1" applyFont="1" applyFill="1" applyBorder="1" applyAlignment="1">
      <alignment horizontal="right"/>
    </xf>
    <xf numFmtId="4" fontId="4" fillId="33" borderId="21" xfId="0" applyNumberFormat="1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/>
    </xf>
    <xf numFmtId="4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16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4" fillId="0" borderId="2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right"/>
    </xf>
    <xf numFmtId="0" fontId="10" fillId="33" borderId="3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3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4" fillId="33" borderId="29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" fontId="10" fillId="33" borderId="30" xfId="0" applyNumberFormat="1" applyFont="1" applyFill="1" applyBorder="1" applyAlignment="1">
      <alignment horizontal="right"/>
    </xf>
    <xf numFmtId="0" fontId="10" fillId="33" borderId="15" xfId="0" applyFont="1" applyFill="1" applyBorder="1" applyAlignment="1">
      <alignment horizontal="center"/>
    </xf>
    <xf numFmtId="0" fontId="0" fillId="0" borderId="24" xfId="0" applyBorder="1" applyAlignment="1">
      <alignment wrapText="1"/>
    </xf>
    <xf numFmtId="4" fontId="4" fillId="33" borderId="1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4" fontId="10" fillId="0" borderId="0" xfId="0" applyNumberFormat="1" applyFont="1" applyBorder="1" applyAlignment="1" quotePrefix="1">
      <alignment horizontal="right"/>
    </xf>
    <xf numFmtId="0" fontId="4" fillId="0" borderId="17" xfId="0" applyFont="1" applyBorder="1" applyAlignment="1">
      <alignment horizontal="left" vertical="center"/>
    </xf>
    <xf numFmtId="4" fontId="0" fillId="0" borderId="0" xfId="0" applyNumberFormat="1" applyAlignment="1">
      <alignment horizontal="right"/>
    </xf>
    <xf numFmtId="4" fontId="4" fillId="0" borderId="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4" fontId="4" fillId="0" borderId="30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right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16" fontId="2" fillId="0" borderId="0" xfId="0" applyNumberFormat="1" applyFont="1" applyAlignment="1">
      <alignment horizontal="center"/>
    </xf>
    <xf numFmtId="0" fontId="0" fillId="0" borderId="41" xfId="0" applyBorder="1" applyAlignment="1">
      <alignment wrapText="1"/>
    </xf>
    <xf numFmtId="0" fontId="4" fillId="0" borderId="2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4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4" fontId="10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horizont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/>
    </xf>
    <xf numFmtId="0" fontId="10" fillId="0" borderId="31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top"/>
    </xf>
    <xf numFmtId="0" fontId="10" fillId="0" borderId="31" xfId="0" applyFont="1" applyBorder="1" applyAlignment="1">
      <alignment horizontal="center"/>
    </xf>
    <xf numFmtId="4" fontId="10" fillId="0" borderId="31" xfId="0" applyNumberFormat="1" applyFont="1" applyBorder="1" applyAlignment="1">
      <alignment horizontal="right" vertical="center"/>
    </xf>
    <xf numFmtId="4" fontId="10" fillId="0" borderId="3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" fontId="10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11" fillId="0" borderId="24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 vertical="top"/>
    </xf>
    <xf numFmtId="0" fontId="4" fillId="0" borderId="39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1" fillId="0" borderId="24" xfId="0" applyFont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wrapText="1"/>
    </xf>
    <xf numFmtId="0" fontId="10" fillId="0" borderId="16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 horizontal="center"/>
    </xf>
    <xf numFmtId="4" fontId="2" fillId="0" borderId="2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/>
    </xf>
    <xf numFmtId="4" fontId="10" fillId="0" borderId="31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0" borderId="21" xfId="0" applyFont="1" applyBorder="1" applyAlignment="1">
      <alignment horizontal="left" vertical="center" wrapText="1"/>
    </xf>
    <xf numFmtId="0" fontId="0" fillId="0" borderId="42" xfId="0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4" fillId="0" borderId="20" xfId="0" applyFont="1" applyBorder="1" applyAlignment="1">
      <alignment horizontal="left" vertical="center" wrapText="1"/>
    </xf>
    <xf numFmtId="0" fontId="0" fillId="0" borderId="34" xfId="0" applyBorder="1" applyAlignment="1">
      <alignment wrapText="1"/>
    </xf>
    <xf numFmtId="0" fontId="4" fillId="33" borderId="28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center" wrapText="1"/>
    </xf>
    <xf numFmtId="0" fontId="0" fillId="33" borderId="43" xfId="0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4" fillId="33" borderId="44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0" fillId="33" borderId="45" xfId="0" applyFont="1" applyFill="1" applyBorder="1" applyAlignment="1">
      <alignment horizontal="left" wrapText="1"/>
    </xf>
    <xf numFmtId="0" fontId="10" fillId="33" borderId="44" xfId="0" applyFont="1" applyFill="1" applyBorder="1" applyAlignment="1">
      <alignment horizontal="left" wrapText="1"/>
    </xf>
    <xf numFmtId="0" fontId="2" fillId="0" borderId="44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4" fillId="33" borderId="47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wrapText="1"/>
    </xf>
    <xf numFmtId="0" fontId="4" fillId="33" borderId="36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48" xfId="0" applyFont="1" applyFill="1" applyBorder="1" applyAlignment="1">
      <alignment horizontal="center" wrapText="1"/>
    </xf>
    <xf numFmtId="0" fontId="0" fillId="33" borderId="48" xfId="0" applyFill="1" applyBorder="1" applyAlignment="1">
      <alignment wrapText="1"/>
    </xf>
    <xf numFmtId="0" fontId="4" fillId="33" borderId="49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wrapText="1"/>
    </xf>
    <xf numFmtId="0" fontId="2" fillId="33" borderId="44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horizontal="left" wrapText="1"/>
    </xf>
    <xf numFmtId="0" fontId="4" fillId="33" borderId="30" xfId="0" applyFont="1" applyFill="1" applyBorder="1" applyAlignment="1">
      <alignment horizontal="left" wrapText="1"/>
    </xf>
    <xf numFmtId="0" fontId="0" fillId="33" borderId="44" xfId="0" applyFill="1" applyBorder="1" applyAlignment="1">
      <alignment wrapText="1"/>
    </xf>
    <xf numFmtId="0" fontId="4" fillId="33" borderId="15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wrapText="1"/>
    </xf>
    <xf numFmtId="0" fontId="0" fillId="33" borderId="48" xfId="0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="150" zoomScaleNormal="150" zoomScalePageLayoutView="0" workbookViewId="0" topLeftCell="A17">
      <selection activeCell="A44" sqref="A44:E4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5.00390625" style="0" customWidth="1"/>
    <col min="4" max="4" width="9.7109375" style="0" customWidth="1"/>
    <col min="5" max="5" width="7.00390625" style="0" customWidth="1"/>
    <col min="6" max="6" width="10.7109375" style="5" customWidth="1"/>
    <col min="7" max="7" width="10.00390625" style="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10" customFormat="1" ht="11.25">
      <c r="A1" s="10" t="s">
        <v>5</v>
      </c>
      <c r="F1" s="6"/>
      <c r="G1" s="6"/>
      <c r="J1" s="10" t="s">
        <v>93</v>
      </c>
      <c r="K1" s="10" t="s">
        <v>214</v>
      </c>
    </row>
    <row r="2" spans="6:8" s="10" customFormat="1" ht="11.25">
      <c r="F2" s="6"/>
      <c r="G2" s="6"/>
      <c r="H2" s="95" t="s">
        <v>162</v>
      </c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71</v>
      </c>
      <c r="C6" s="276" t="s">
        <v>72</v>
      </c>
      <c r="D6" s="276" t="s">
        <v>10</v>
      </c>
      <c r="E6" s="276" t="s">
        <v>11</v>
      </c>
      <c r="F6" s="276" t="s">
        <v>12</v>
      </c>
      <c r="G6" s="276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77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21" customHeight="1" thickBot="1">
      <c r="A9" s="280" t="s">
        <v>63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/>
      <c r="D10" s="17"/>
      <c r="E10" s="18"/>
      <c r="F10" s="19"/>
      <c r="G10" s="19"/>
      <c r="H10" s="11"/>
      <c r="I10" s="12"/>
      <c r="J10" s="13"/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f>(SFR!F11+'N01'!F11+'N02'!F11+'N03'!F11+'N04'!F11+'N06'!F11+'N07'!F11+'N08'!F11+'N09'!F11+'N18'!F11+'GARAŻE N01'!F11+'GARAŻE N02'!F11+'GARAŻE N04'!F11+'GARAŻE N06'!F11+'DŹWIGI N01'!F11+'DŹWIGI N03'!F11+'DŹWIGI N04'!F11+'DŹWIGI N06'!F11+'DŹWIGI N07'!F11+'DŹWIGI N18'!F11)</f>
        <v>482655</v>
      </c>
      <c r="G11" s="44">
        <f>(SFR!G11+'N01'!G11+'N02'!G11+'N03'!G11+'N04'!G11+'N06'!G11+'N07'!G11+'N08'!G11+'N09'!G11+'N18'!G11+'GARAŻE N01'!G11+'GARAŻE N02'!G11+'GARAŻE N04'!G11+'GARAŻE N06'!G11+'DŹWIGI N01'!G11+'DŹWIGI N03'!G11+'DŹWIGI N04'!G11+'DŹWIGI N06'!G11+'DŹWIGI N07'!G11+'DŹWIGI N18'!G11)</f>
        <v>2280353.999999999</v>
      </c>
      <c r="H11" s="283" t="s">
        <v>180</v>
      </c>
      <c r="I11" s="284"/>
      <c r="J11" s="284"/>
      <c r="K11" s="285"/>
    </row>
    <row r="12" spans="1:11" s="14" customFormat="1" ht="13.5" customHeight="1">
      <c r="A12" s="269" t="s">
        <v>70</v>
      </c>
      <c r="B12" s="270"/>
      <c r="C12" s="270"/>
      <c r="D12" s="270"/>
      <c r="E12" s="270"/>
      <c r="F12" s="41">
        <f>(SFR!F12+'N01'!F12+'N02'!F12+'N03'!F12+'N04'!F12+'N06'!F12+'N07'!F12+'N08'!F12+'N09'!F12+'N18'!F12+'GARAŻE N01'!F12+'GARAŻE N02'!F12+'GARAŻE N04'!F12+'GARAŻE N06'!F12+'DŹWIGI N01'!F12+'DŹWIGI N03'!F12+'DŹWIGI N04'!F12+'DŹWIGI N06'!F12+'DŹWIGI N07'!F12+'DŹWIGI N18'!F12)</f>
        <v>1803552.732</v>
      </c>
      <c r="G12" s="41">
        <f>(SFR!G12+'N01'!G12+'N02'!G12+'N03'!G12+'N04'!G12+'N06'!G12+'N07'!G12+'N08'!G12+'N09'!G12+'N18'!G12+'GARAŻE N01'!G12+'GARAŻE N02'!G12+'GARAŻE N04'!G12+'GARAŻE N06'!G12+'DŹWIGI N01'!G12+'DŹWIGI N03'!G12+'DŹWIGI N04'!G12+'DŹWIGI N06'!G12+'DŹWIGI N07'!G12+'DŹWIGI N18'!G12)</f>
        <v>1847251.4199999997</v>
      </c>
      <c r="H12" s="250"/>
      <c r="I12" s="271"/>
      <c r="J12" s="271"/>
      <c r="K12" s="54"/>
    </row>
    <row r="13" spans="1:11" s="40" customFormat="1" ht="12.75" customHeight="1">
      <c r="A13" s="272" t="s">
        <v>48</v>
      </c>
      <c r="B13" s="273"/>
      <c r="C13" s="273"/>
      <c r="D13" s="273"/>
      <c r="E13" s="273"/>
      <c r="F13" s="41">
        <f>(SFR!F13)</f>
        <v>89703.4</v>
      </c>
      <c r="G13" s="41">
        <f>(SFR!G13)</f>
        <v>90859.3</v>
      </c>
      <c r="H13" s="250"/>
      <c r="I13" s="271"/>
      <c r="J13" s="271"/>
      <c r="K13" s="54"/>
    </row>
    <row r="14" spans="1:11" s="40" customFormat="1" ht="12.75" customHeight="1">
      <c r="A14" s="272" t="s">
        <v>156</v>
      </c>
      <c r="B14" s="273"/>
      <c r="C14" s="273"/>
      <c r="D14" s="273"/>
      <c r="E14" s="273"/>
      <c r="F14" s="41">
        <f>(SFR!F14+'N01'!F14+'N02'!F14+'N03'!F14+'N04'!F14+'N06'!F14+'N07'!F14+'N08'!F14+'N09'!F14+'N18'!F14+'GARAŻE N01'!F14+'GARAŻE N02'!F14+'GARAŻE N04'!F14+'GARAŻE N06'!F14+'DŹWIGI N01'!F14+'DŹWIGI N03'!F14+'DŹWIGI N04'!F14+'DŹWIGI N06'!F14+'DŹWIGI N07'!F14+'DŹWIGI N18'!F14)</f>
        <v>43440</v>
      </c>
      <c r="G14" s="41">
        <f>(SFR!G14+'N01'!G14+'N02'!G14+'N03'!G14+'N04'!G14+'N06'!G14+'N07'!G14+'N08'!G14+'N09'!G14+'N18'!G14+'GARAŻE N01'!G14+'GARAŻE N02'!G14+'GARAŻE N04'!G14+'GARAŻE N06'!G14+'DŹWIGI N01'!G14+'DŹWIGI N03'!G14+'DŹWIGI N04'!G14+'DŹWIGI N06'!G14+'DŹWIGI N07'!G14+'DŹWIGI N18'!G14)</f>
        <v>13665.279999999999</v>
      </c>
      <c r="H14" s="250"/>
      <c r="I14" s="271"/>
      <c r="J14" s="271"/>
      <c r="K14" s="54"/>
    </row>
    <row r="15" spans="1:11" s="14" customFormat="1" ht="13.5" customHeight="1">
      <c r="A15" s="269" t="s">
        <v>157</v>
      </c>
      <c r="B15" s="270"/>
      <c r="C15" s="270"/>
      <c r="D15" s="270"/>
      <c r="E15" s="270"/>
      <c r="F15" s="41">
        <f>(SFR!F15+'N01'!F15+'N02'!F15+'N03'!F15+'N04'!F15+'N06'!F15+'N07'!F15+'N08'!F15+'N09'!F15+'N18'!F15+'GARAŻE N01'!F15+'GARAŻE N02'!F15+'GARAŻE N04'!F15+'GARAŻE N06'!F15+'DŹWIGI N01'!F15+'DŹWIGI N03'!F15+'DŹWIGI N04'!F15+'DŹWIGI N06'!F15+'DŹWIGI N07'!F15)</f>
        <v>0</v>
      </c>
      <c r="G15" s="41">
        <f>(SFR!G15+'N01'!G15+'N02'!G15+'N03'!G15+'N04'!G15+'N06'!G15+'N07'!G15+'N08'!G15+'N09'!G15+'N18'!G15+'GARAŻE N01'!G15+'GARAŻE N02'!G15+'GARAŻE N04'!G15+'GARAŻE N06'!G15+'DŹWIGI N01'!G15+'DŹWIGI N03'!G15+'DŹWIGI N04'!G15+'DŹWIGI N06'!G15+'DŹWIGI N07'!G15)</f>
        <v>5.4569682106375694E-12</v>
      </c>
      <c r="H15" s="274" t="s">
        <v>240</v>
      </c>
      <c r="I15" s="271"/>
      <c r="J15" s="271"/>
      <c r="K15" s="275"/>
    </row>
    <row r="16" spans="1:11" s="39" customFormat="1" ht="12.75" customHeight="1" thickBot="1">
      <c r="A16" s="244" t="s">
        <v>41</v>
      </c>
      <c r="B16" s="245"/>
      <c r="C16" s="245"/>
      <c r="D16" s="245"/>
      <c r="E16" s="245"/>
      <c r="F16" s="45">
        <f>F11+F12+F13+F14+F15</f>
        <v>2419351.1319999998</v>
      </c>
      <c r="G16" s="45">
        <f>G11+G12+G13+G14+G15</f>
        <v>4232129.999999999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9"/>
      <c r="H17" s="60"/>
      <c r="I17" s="63"/>
      <c r="J17" s="63"/>
      <c r="K17" s="61"/>
    </row>
    <row r="18" spans="1:11" ht="12.75">
      <c r="A18" s="69" t="s">
        <v>33</v>
      </c>
      <c r="B18" s="123" t="s">
        <v>146</v>
      </c>
      <c r="C18" s="122" t="s">
        <v>147</v>
      </c>
      <c r="D18" s="71"/>
      <c r="E18" s="70"/>
      <c r="F18" s="44">
        <f>SFR!F30</f>
        <v>160000</v>
      </c>
      <c r="G18" s="44">
        <f>SFR!G30</f>
        <v>43851.32</v>
      </c>
      <c r="H18" s="70"/>
      <c r="I18" s="70"/>
      <c r="J18" s="242"/>
      <c r="K18" s="243"/>
    </row>
    <row r="19" spans="1:11" ht="12.75">
      <c r="A19" s="73" t="s">
        <v>23</v>
      </c>
      <c r="B19" s="68" t="s">
        <v>69</v>
      </c>
      <c r="C19" s="51" t="s">
        <v>75</v>
      </c>
      <c r="D19" s="68"/>
      <c r="E19" s="51"/>
      <c r="F19" s="41">
        <f>'N01'!F30</f>
        <v>516250</v>
      </c>
      <c r="G19" s="41">
        <f>'N01'!G30</f>
        <v>476062.34</v>
      </c>
      <c r="H19" s="51"/>
      <c r="I19" s="51"/>
      <c r="J19" s="236"/>
      <c r="K19" s="237"/>
    </row>
    <row r="20" spans="1:11" ht="12.75">
      <c r="A20" s="73" t="s">
        <v>24</v>
      </c>
      <c r="B20" s="68" t="s">
        <v>69</v>
      </c>
      <c r="C20" s="51" t="s">
        <v>74</v>
      </c>
      <c r="D20" s="68"/>
      <c r="E20" s="51"/>
      <c r="F20" s="41">
        <f>'N02'!F30</f>
        <v>186250</v>
      </c>
      <c r="G20" s="41">
        <f>'N02'!G30</f>
        <v>134260.45</v>
      </c>
      <c r="H20" s="51"/>
      <c r="I20" s="51"/>
      <c r="J20" s="236"/>
      <c r="K20" s="237"/>
    </row>
    <row r="21" spans="1:11" ht="12.75">
      <c r="A21" s="73" t="s">
        <v>26</v>
      </c>
      <c r="B21" s="68" t="s">
        <v>69</v>
      </c>
      <c r="C21" s="51" t="s">
        <v>18</v>
      </c>
      <c r="D21" s="68"/>
      <c r="E21" s="51"/>
      <c r="F21" s="41">
        <f>'N03'!F30</f>
        <v>66250</v>
      </c>
      <c r="G21" s="41">
        <f>'N03'!G30</f>
        <v>7332.29</v>
      </c>
      <c r="H21" s="51"/>
      <c r="I21" s="51"/>
      <c r="J21" s="236"/>
      <c r="K21" s="237"/>
    </row>
    <row r="22" spans="1:11" ht="12.75">
      <c r="A22" s="73" t="s">
        <v>25</v>
      </c>
      <c r="B22" s="68" t="s">
        <v>69</v>
      </c>
      <c r="C22" s="51" t="s">
        <v>73</v>
      </c>
      <c r="D22" s="68"/>
      <c r="E22" s="51"/>
      <c r="F22" s="41">
        <f>'N04'!F30</f>
        <v>180000</v>
      </c>
      <c r="G22" s="41">
        <f>'N04'!G30</f>
        <v>517818.75</v>
      </c>
      <c r="H22" s="51"/>
      <c r="I22" s="51"/>
      <c r="J22" s="236"/>
      <c r="K22" s="237"/>
    </row>
    <row r="23" spans="1:11" ht="12.75">
      <c r="A23" s="73" t="s">
        <v>64</v>
      </c>
      <c r="B23" s="68" t="s">
        <v>69</v>
      </c>
      <c r="C23" s="51" t="s">
        <v>79</v>
      </c>
      <c r="D23" s="68"/>
      <c r="E23" s="51"/>
      <c r="F23" s="41">
        <f>'N06'!F30</f>
        <v>330000</v>
      </c>
      <c r="G23" s="41">
        <f>'N06'!G30</f>
        <v>424891.66000000003</v>
      </c>
      <c r="H23" s="51"/>
      <c r="I23" s="51"/>
      <c r="J23" s="236"/>
      <c r="K23" s="237"/>
    </row>
    <row r="24" spans="1:11" ht="12.75">
      <c r="A24" s="73" t="s">
        <v>65</v>
      </c>
      <c r="B24" s="68" t="s">
        <v>69</v>
      </c>
      <c r="C24" s="51" t="s">
        <v>22</v>
      </c>
      <c r="D24" s="68"/>
      <c r="E24" s="51"/>
      <c r="F24" s="41">
        <f>'N07'!F30</f>
        <v>113015</v>
      </c>
      <c r="G24" s="41">
        <f>'N07'!G30</f>
        <v>153238.18</v>
      </c>
      <c r="H24" s="51"/>
      <c r="I24" s="51"/>
      <c r="J24" s="236"/>
      <c r="K24" s="237"/>
    </row>
    <row r="25" spans="1:11" ht="12.75">
      <c r="A25" s="73" t="s">
        <v>36</v>
      </c>
      <c r="B25" s="68" t="s">
        <v>69</v>
      </c>
      <c r="C25" s="22" t="s">
        <v>76</v>
      </c>
      <c r="D25" s="68"/>
      <c r="E25" s="51"/>
      <c r="F25" s="41">
        <f>'N08'!F30</f>
        <v>194900</v>
      </c>
      <c r="G25" s="41">
        <f>'N08'!G30</f>
        <v>68190.19</v>
      </c>
      <c r="H25" s="51"/>
      <c r="I25" s="51"/>
      <c r="J25" s="236"/>
      <c r="K25" s="237"/>
    </row>
    <row r="26" spans="1:11" ht="12.75">
      <c r="A26" s="73" t="s">
        <v>66</v>
      </c>
      <c r="B26" s="68" t="s">
        <v>69</v>
      </c>
      <c r="C26" s="22" t="s">
        <v>77</v>
      </c>
      <c r="D26" s="68"/>
      <c r="E26" s="51"/>
      <c r="F26" s="41">
        <f>'N09'!F30</f>
        <v>33450</v>
      </c>
      <c r="G26" s="41">
        <f>'N09'!G30</f>
        <v>51996.479999999996</v>
      </c>
      <c r="H26" s="51"/>
      <c r="I26" s="51"/>
      <c r="J26" s="236"/>
      <c r="K26" s="237"/>
    </row>
    <row r="27" spans="1:11" ht="12.75">
      <c r="A27" s="73" t="s">
        <v>37</v>
      </c>
      <c r="B27" s="124" t="s">
        <v>69</v>
      </c>
      <c r="C27" s="51" t="s">
        <v>19</v>
      </c>
      <c r="D27" s="68"/>
      <c r="E27" s="51"/>
      <c r="F27" s="41">
        <f>'N18'!F30</f>
        <v>125015</v>
      </c>
      <c r="G27" s="41">
        <f>'N18'!G30</f>
        <v>147676.28</v>
      </c>
      <c r="H27" s="51"/>
      <c r="I27" s="51"/>
      <c r="J27" s="236"/>
      <c r="K27" s="237"/>
    </row>
    <row r="28" spans="1:11" ht="12.75">
      <c r="A28" s="73" t="s">
        <v>23</v>
      </c>
      <c r="B28" s="68" t="s">
        <v>67</v>
      </c>
      <c r="C28" s="51" t="s">
        <v>95</v>
      </c>
      <c r="D28" s="68"/>
      <c r="E28" s="51"/>
      <c r="F28" s="41">
        <f>'GARAŻE N01'!F30</f>
        <v>10000</v>
      </c>
      <c r="G28" s="41">
        <f>'GARAŻE N01'!G30</f>
        <v>0</v>
      </c>
      <c r="H28" s="51"/>
      <c r="I28" s="51"/>
      <c r="J28" s="236"/>
      <c r="K28" s="237"/>
    </row>
    <row r="29" spans="1:11" ht="12.75">
      <c r="A29" s="73" t="s">
        <v>24</v>
      </c>
      <c r="B29" s="68" t="s">
        <v>67</v>
      </c>
      <c r="C29" s="51" t="s">
        <v>80</v>
      </c>
      <c r="D29" s="68"/>
      <c r="E29" s="51"/>
      <c r="F29" s="41">
        <f>'GARAŻE N02'!F30</f>
        <v>5000</v>
      </c>
      <c r="G29" s="41">
        <f>'GARAŻE N02'!G30</f>
        <v>0</v>
      </c>
      <c r="H29" s="51"/>
      <c r="I29" s="51"/>
      <c r="J29" s="236"/>
      <c r="K29" s="237"/>
    </row>
    <row r="30" spans="1:11" ht="12.75">
      <c r="A30" s="73" t="s">
        <v>25</v>
      </c>
      <c r="B30" s="68" t="s">
        <v>67</v>
      </c>
      <c r="C30" s="51" t="s">
        <v>81</v>
      </c>
      <c r="D30" s="68"/>
      <c r="E30" s="51"/>
      <c r="F30" s="41">
        <f>'GARAŻE N04'!F30</f>
        <v>5000</v>
      </c>
      <c r="G30" s="41">
        <f>'GARAŻE N04'!G30</f>
        <v>1696.27</v>
      </c>
      <c r="H30" s="51"/>
      <c r="I30" s="51"/>
      <c r="J30" s="236"/>
      <c r="K30" s="237"/>
    </row>
    <row r="31" spans="1:11" ht="12.75">
      <c r="A31" s="73" t="s">
        <v>64</v>
      </c>
      <c r="B31" s="68" t="s">
        <v>67</v>
      </c>
      <c r="C31" s="51" t="s">
        <v>79</v>
      </c>
      <c r="D31" s="68"/>
      <c r="E31" s="51"/>
      <c r="F31" s="41">
        <f>'GARAŻE N06'!F30</f>
        <v>10000</v>
      </c>
      <c r="G31" s="41">
        <f>'GARAŻE N06'!G30</f>
        <v>7859.66</v>
      </c>
      <c r="H31" s="51"/>
      <c r="I31" s="51"/>
      <c r="J31" s="236"/>
      <c r="K31" s="237"/>
    </row>
    <row r="32" spans="1:11" ht="12.75">
      <c r="A32" s="73" t="s">
        <v>23</v>
      </c>
      <c r="B32" s="68" t="s">
        <v>68</v>
      </c>
      <c r="C32" s="51" t="s">
        <v>78</v>
      </c>
      <c r="D32" s="68"/>
      <c r="E32" s="51"/>
      <c r="F32" s="41">
        <f>'DŹWIGI N01'!F30</f>
        <v>20000</v>
      </c>
      <c r="G32" s="41">
        <f>'DŹWIGI N01'!G30</f>
        <v>0</v>
      </c>
      <c r="H32" s="51"/>
      <c r="I32" s="51"/>
      <c r="J32" s="236"/>
      <c r="K32" s="237"/>
    </row>
    <row r="33" spans="1:11" ht="12.75">
      <c r="A33" s="73" t="s">
        <v>26</v>
      </c>
      <c r="B33" s="68" t="s">
        <v>68</v>
      </c>
      <c r="C33" s="51" t="s">
        <v>18</v>
      </c>
      <c r="D33" s="68"/>
      <c r="E33" s="51"/>
      <c r="F33" s="41">
        <f>'DŹWIGI N03'!F30</f>
        <v>10000</v>
      </c>
      <c r="G33" s="41">
        <f>'DŹWIGI N03'!G30</f>
        <v>0</v>
      </c>
      <c r="H33" s="51"/>
      <c r="I33" s="51"/>
      <c r="J33" s="236"/>
      <c r="K33" s="237"/>
    </row>
    <row r="34" spans="1:11" ht="12.75">
      <c r="A34" s="73" t="s">
        <v>25</v>
      </c>
      <c r="B34" s="68" t="s">
        <v>68</v>
      </c>
      <c r="C34" s="51" t="s">
        <v>34</v>
      </c>
      <c r="D34" s="68"/>
      <c r="E34" s="51"/>
      <c r="F34" s="41">
        <f>'DŹWIGI N04'!F30</f>
        <v>10000</v>
      </c>
      <c r="G34" s="41">
        <f>'DŹWIGI N04'!G30</f>
        <v>0</v>
      </c>
      <c r="H34" s="51"/>
      <c r="I34" s="51"/>
      <c r="J34" s="236"/>
      <c r="K34" s="237"/>
    </row>
    <row r="35" spans="1:11" ht="12.75">
      <c r="A35" s="73" t="s">
        <v>64</v>
      </c>
      <c r="B35" s="68" t="s">
        <v>68</v>
      </c>
      <c r="C35" s="51" t="s">
        <v>79</v>
      </c>
      <c r="D35" s="68"/>
      <c r="E35" s="51"/>
      <c r="F35" s="41">
        <f>'DŹWIGI N06'!F30</f>
        <v>10000</v>
      </c>
      <c r="G35" s="41">
        <f>'DŹWIGI N06'!G30</f>
        <v>28593.129999999997</v>
      </c>
      <c r="H35" s="51"/>
      <c r="I35" s="51"/>
      <c r="J35" s="236"/>
      <c r="K35" s="237"/>
    </row>
    <row r="36" spans="1:11" ht="12.75">
      <c r="A36" s="135" t="s">
        <v>65</v>
      </c>
      <c r="B36" s="127" t="s">
        <v>68</v>
      </c>
      <c r="C36" s="52" t="s">
        <v>22</v>
      </c>
      <c r="D36" s="127"/>
      <c r="E36" s="52"/>
      <c r="F36" s="117">
        <f>'DŹWIGI N07'!F30</f>
        <v>10000</v>
      </c>
      <c r="G36" s="117">
        <f>'DŹWIGI N07'!G30</f>
        <v>0</v>
      </c>
      <c r="H36" s="52"/>
      <c r="I36" s="52"/>
      <c r="J36" s="240"/>
      <c r="K36" s="241"/>
    </row>
    <row r="37" spans="1:11" ht="13.5" thickBot="1">
      <c r="A37" s="74" t="s">
        <v>37</v>
      </c>
      <c r="B37" s="76" t="s">
        <v>68</v>
      </c>
      <c r="C37" s="75" t="s">
        <v>19</v>
      </c>
      <c r="D37" s="76"/>
      <c r="E37" s="75"/>
      <c r="F37" s="45">
        <f>'DŹWIGI N18'!F30</f>
        <v>10000</v>
      </c>
      <c r="G37" s="45">
        <f>'DŹWIGI N18'!G30</f>
        <v>0</v>
      </c>
      <c r="H37" s="75"/>
      <c r="I37" s="75"/>
      <c r="J37" s="238"/>
      <c r="K37" s="239"/>
    </row>
    <row r="38" spans="1:11" ht="13.5" thickBot="1">
      <c r="A38" s="79"/>
      <c r="B38" s="80"/>
      <c r="C38" s="43"/>
      <c r="D38" s="81"/>
      <c r="E38" s="21"/>
      <c r="F38" s="77"/>
      <c r="G38" s="36"/>
      <c r="H38" s="21"/>
      <c r="I38" s="21"/>
      <c r="J38" s="81"/>
      <c r="K38" s="47"/>
    </row>
    <row r="39" spans="1:11" s="14" customFormat="1" ht="13.5" customHeight="1">
      <c r="A39" s="262" t="s">
        <v>40</v>
      </c>
      <c r="B39" s="263"/>
      <c r="C39" s="263"/>
      <c r="D39" s="263"/>
      <c r="E39" s="263"/>
      <c r="F39" s="44">
        <f>(SFR!F30+'N01'!F30+'N02'!F30+'N03'!F30+'N04'!F30+'N06'!F30+'N07'!F30+'N08'!F30+'N09'!F30+'N18'!F30+'GARAŻE N01'!F30+'GARAŻE N02'!F30+'GARAŻE N04'!F30+'GARAŻE N06'!F30+'DŹWIGI N01'!F30+'DŹWIGI N03'!F30+'DŹWIGI N04'!F30+'DŹWIGI N06'!F30+'DŹWIGI N07'!F30+'DŹWIGI N18'!F30)</f>
        <v>2005130</v>
      </c>
      <c r="G39" s="44">
        <f>(SFR!G30+'N01'!G30+'N02'!G30+'N03'!G30+'N04'!G30+'N06'!G30+'N07'!G30+'N08'!G30+'N09'!G30+'N18'!G30+'GARAŻE N01'!G30+'GARAŻE N02'!G30+'GARAŻE N04'!G30+'GARAŻE N06'!G30+'DŹWIGI N01'!G30+'DŹWIGI N03'!G30+'DŹWIGI N04'!G30+'DŹWIGI N06'!G30+'DŹWIGI N07'!G30+'DŹWIGI N18'!G30)</f>
        <v>2063466.9999999998</v>
      </c>
      <c r="H39" s="264"/>
      <c r="I39" s="265"/>
      <c r="J39" s="265"/>
      <c r="K39" s="94"/>
    </row>
    <row r="40" spans="1:11" s="14" customFormat="1" ht="13.5" customHeight="1">
      <c r="A40" s="112"/>
      <c r="B40" s="254" t="s">
        <v>21</v>
      </c>
      <c r="C40" s="251"/>
      <c r="D40" s="256"/>
      <c r="E40" s="257"/>
      <c r="F40" s="113"/>
      <c r="G40" s="113"/>
      <c r="H40" s="266"/>
      <c r="I40" s="267"/>
      <c r="J40" s="267"/>
      <c r="K40" s="53"/>
    </row>
    <row r="41" spans="1:11" s="14" customFormat="1" ht="13.5" customHeight="1">
      <c r="A41" s="112"/>
      <c r="B41" s="254" t="s">
        <v>93</v>
      </c>
      <c r="C41" s="268"/>
      <c r="D41" s="256"/>
      <c r="E41" s="257"/>
      <c r="F41" s="146"/>
      <c r="G41" s="146"/>
      <c r="H41" s="250"/>
      <c r="I41" s="251"/>
      <c r="J41" s="251"/>
      <c r="K41" s="54"/>
    </row>
    <row r="42" spans="1:11" s="14" customFormat="1" ht="13.5" customHeight="1">
      <c r="A42" s="115"/>
      <c r="B42" s="254" t="s">
        <v>4</v>
      </c>
      <c r="C42" s="255"/>
      <c r="D42" s="256"/>
      <c r="E42" s="257"/>
      <c r="F42" s="147">
        <f>(SFR!F33+'N01'!F33+'N02'!F33+'N03'!F33+'N04'!F33+'N06'!F33+'N07'!F33+'N08'!F33+'N09'!F33+'N18'!F33+'GARAŻE N01'!F33+'GARAŻE N02'!F33+'GARAŻE N04'!F33+'GARAŻE N06'!F33+'DŹWIGI N01'!F33+'DŹWIGI N03'!F33+'DŹWIGI N04'!F33+'DŹWIGI N06'!F33+'DŹWIGI N07'!F33+'DŹWIGI N18'!F33)</f>
        <v>292000</v>
      </c>
      <c r="G42" s="147">
        <f>(SFR!G33+'N01'!G33+'N02'!G33+'N03'!G33+'N04'!G33+'N06'!G33+'N07'!G33+'N08'!G33+'N09'!G33+'N18'!G33+'GARAŻE N01'!G33+'GARAŻE N02'!G33+'GARAŻE N04'!G33+'GARAŻE N06'!G33+'DŹWIGI N01'!G33+'DŹWIGI N03'!G33+'DŹWIGI N04'!G33+'DŹWIGI N06'!G33+'DŹWIGI N07'!G33+'DŹWIGI N18'!G33)</f>
        <v>28077.83</v>
      </c>
      <c r="H42" s="258"/>
      <c r="I42" s="259"/>
      <c r="J42" s="259"/>
      <c r="K42" s="56"/>
    </row>
    <row r="43" spans="1:11" s="14" customFormat="1" ht="13.5" customHeight="1">
      <c r="A43" s="115"/>
      <c r="B43" s="252" t="s">
        <v>3</v>
      </c>
      <c r="C43" s="252"/>
      <c r="D43" s="253"/>
      <c r="E43" s="253"/>
      <c r="F43" s="42">
        <f>F39-F41-F42</f>
        <v>1713130</v>
      </c>
      <c r="G43" s="42">
        <f>G39-G41-G42</f>
        <v>2035389.1699999997</v>
      </c>
      <c r="H43" s="248"/>
      <c r="I43" s="249"/>
      <c r="J43" s="249"/>
      <c r="K43" s="35"/>
    </row>
    <row r="44" spans="1:11" s="14" customFormat="1" ht="13.5" customHeight="1" thickBot="1">
      <c r="A44" s="260" t="s">
        <v>241</v>
      </c>
      <c r="B44" s="261"/>
      <c r="C44" s="261"/>
      <c r="D44" s="261"/>
      <c r="E44" s="261"/>
      <c r="F44" s="46">
        <f>F16-F39</f>
        <v>414221.13199999975</v>
      </c>
      <c r="G44" s="46">
        <f>G16-G39</f>
        <v>2168662.999999999</v>
      </c>
      <c r="H44" s="246"/>
      <c r="I44" s="247"/>
      <c r="J44" s="247"/>
      <c r="K44" s="55"/>
    </row>
    <row r="45" ht="12.75">
      <c r="K45" s="148"/>
    </row>
    <row r="46" spans="3:11" ht="12.75">
      <c r="C46" t="s">
        <v>93</v>
      </c>
      <c r="K46" s="148" t="s">
        <v>97</v>
      </c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  <row r="64" ht="12.75">
      <c r="K64" s="1"/>
    </row>
    <row r="65" ht="12.75">
      <c r="K65" s="1"/>
    </row>
  </sheetData>
  <sheetProtection/>
  <mergeCells count="58"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9:K9"/>
    <mergeCell ref="A11:E11"/>
    <mergeCell ref="H11:K11"/>
    <mergeCell ref="A12:E12"/>
    <mergeCell ref="H12:J12"/>
    <mergeCell ref="A15:E15"/>
    <mergeCell ref="A13:E13"/>
    <mergeCell ref="H13:J13"/>
    <mergeCell ref="A14:E14"/>
    <mergeCell ref="H14:J14"/>
    <mergeCell ref="H15:K15"/>
    <mergeCell ref="A44:E44"/>
    <mergeCell ref="H44:J44"/>
    <mergeCell ref="A39:E39"/>
    <mergeCell ref="H39:J39"/>
    <mergeCell ref="B40:E40"/>
    <mergeCell ref="H40:J40"/>
    <mergeCell ref="B41:E41"/>
    <mergeCell ref="J29:K29"/>
    <mergeCell ref="A16:E16"/>
    <mergeCell ref="H16:J16"/>
    <mergeCell ref="H43:J43"/>
    <mergeCell ref="H41:J41"/>
    <mergeCell ref="B43:E43"/>
    <mergeCell ref="J20:K20"/>
    <mergeCell ref="J27:K27"/>
    <mergeCell ref="B42:E42"/>
    <mergeCell ref="H42:J42"/>
    <mergeCell ref="J21:K21"/>
    <mergeCell ref="J19:K19"/>
    <mergeCell ref="J18:K18"/>
    <mergeCell ref="J28:K28"/>
    <mergeCell ref="J22:K22"/>
    <mergeCell ref="J26:K26"/>
    <mergeCell ref="J25:K25"/>
    <mergeCell ref="J24:K24"/>
    <mergeCell ref="J23:K23"/>
    <mergeCell ref="J34:K34"/>
    <mergeCell ref="J35:K35"/>
    <mergeCell ref="J37:K37"/>
    <mergeCell ref="J30:K30"/>
    <mergeCell ref="J31:K31"/>
    <mergeCell ref="J32:K32"/>
    <mergeCell ref="J33:K33"/>
    <mergeCell ref="J36:K36"/>
  </mergeCells>
  <printOptions horizontalCentered="1"/>
  <pageMargins left="0" right="0" top="0" bottom="0" header="0" footer="0"/>
  <pageSetup horizontalDpi="600" verticalDpi="600" orientation="landscape" paperSize="9" scale="9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9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56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17</v>
      </c>
      <c r="D10" s="17">
        <v>3673.8</v>
      </c>
      <c r="E10" s="18" t="s">
        <v>6</v>
      </c>
      <c r="F10" s="19"/>
      <c r="G10" s="138"/>
      <c r="H10" s="11" t="s">
        <v>8</v>
      </c>
      <c r="I10" s="12">
        <v>1.2</v>
      </c>
      <c r="J10" s="13" t="s">
        <v>7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0</v>
      </c>
      <c r="G11" s="44">
        <v>16437.26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D10*I10*12</f>
        <v>52902.72</v>
      </c>
      <c r="G12" s="41">
        <f>24405.12+28497.6</f>
        <v>52902.72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42</v>
      </c>
      <c r="B14" s="273"/>
      <c r="C14" s="273"/>
      <c r="D14" s="273"/>
      <c r="E14" s="273"/>
      <c r="F14" s="41">
        <v>0</v>
      </c>
      <c r="G14" s="41">
        <f>211.98+211.98</f>
        <v>423.96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10241.25</v>
      </c>
      <c r="H15" s="250" t="s">
        <v>230</v>
      </c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52902.72</v>
      </c>
      <c r="G16" s="45">
        <f>G11+G12+G13+G14+G15</f>
        <v>80005.19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120">
        <v>1</v>
      </c>
      <c r="B18" s="88" t="s">
        <v>96</v>
      </c>
      <c r="C18" s="88" t="s">
        <v>124</v>
      </c>
      <c r="D18" s="92" t="s">
        <v>125</v>
      </c>
      <c r="E18" s="92"/>
      <c r="F18" s="98">
        <f>75*246</f>
        <v>18450</v>
      </c>
      <c r="G18" s="226">
        <f>8275.32+9707.88</f>
        <v>17983.199999999997</v>
      </c>
      <c r="H18" s="92">
        <v>2014</v>
      </c>
      <c r="I18" s="92"/>
      <c r="J18" s="92" t="s">
        <v>3</v>
      </c>
      <c r="K18" s="121"/>
    </row>
    <row r="19" spans="1:11" ht="12.75">
      <c r="A19" s="29">
        <v>2</v>
      </c>
      <c r="B19" s="30" t="s">
        <v>96</v>
      </c>
      <c r="C19" s="22" t="s">
        <v>141</v>
      </c>
      <c r="D19" s="4"/>
      <c r="E19" s="4"/>
      <c r="F19" s="31">
        <v>10000</v>
      </c>
      <c r="G19" s="200">
        <v>5924.91</v>
      </c>
      <c r="H19" s="4">
        <v>2014</v>
      </c>
      <c r="I19" s="4"/>
      <c r="J19" s="34" t="s">
        <v>3</v>
      </c>
      <c r="K19" s="32"/>
    </row>
    <row r="20" spans="1:11" ht="12.75">
      <c r="A20" s="29">
        <v>3</v>
      </c>
      <c r="B20" s="30"/>
      <c r="C20" s="22" t="s">
        <v>20</v>
      </c>
      <c r="D20" s="4"/>
      <c r="E20" s="4"/>
      <c r="F20" s="31">
        <v>5000</v>
      </c>
      <c r="G20" s="31"/>
      <c r="H20" s="4">
        <v>2014</v>
      </c>
      <c r="I20" s="4"/>
      <c r="J20" s="4" t="s">
        <v>4</v>
      </c>
      <c r="K20" s="32"/>
    </row>
    <row r="21" spans="1:11" ht="12.75">
      <c r="A21" s="29">
        <v>4</v>
      </c>
      <c r="B21" s="185" t="s">
        <v>96</v>
      </c>
      <c r="C21" s="185" t="s">
        <v>178</v>
      </c>
      <c r="D21" s="162"/>
      <c r="E21" s="162"/>
      <c r="F21" s="159"/>
      <c r="G21" s="219">
        <f>1382.4+1711.8+1228.77</f>
        <v>4322.969999999999</v>
      </c>
      <c r="H21" s="162">
        <v>2014</v>
      </c>
      <c r="I21" s="4"/>
      <c r="J21" s="162" t="s">
        <v>3</v>
      </c>
      <c r="K21" s="32"/>
    </row>
    <row r="22" spans="1:11" ht="12.75">
      <c r="A22" s="29">
        <v>5</v>
      </c>
      <c r="B22" s="185" t="s">
        <v>211</v>
      </c>
      <c r="C22" s="185" t="s">
        <v>179</v>
      </c>
      <c r="D22" s="162"/>
      <c r="E22" s="162"/>
      <c r="F22" s="159"/>
      <c r="G22" s="219">
        <v>1065.96</v>
      </c>
      <c r="H22" s="162">
        <v>2014</v>
      </c>
      <c r="I22" s="4"/>
      <c r="J22" s="162" t="s">
        <v>3</v>
      </c>
      <c r="K22" s="32"/>
    </row>
    <row r="23" spans="1:11" ht="12.75">
      <c r="A23" s="29">
        <v>6</v>
      </c>
      <c r="B23" s="185" t="s">
        <v>96</v>
      </c>
      <c r="C23" s="185" t="s">
        <v>177</v>
      </c>
      <c r="D23" s="162"/>
      <c r="E23" s="162"/>
      <c r="F23" s="159"/>
      <c r="G23" s="219">
        <f>4212+4212</f>
        <v>8424</v>
      </c>
      <c r="H23" s="162">
        <v>2014</v>
      </c>
      <c r="I23" s="4"/>
      <c r="J23" s="162" t="s">
        <v>3</v>
      </c>
      <c r="K23" s="32"/>
    </row>
    <row r="24" spans="1:11" ht="12.75">
      <c r="A24" s="28">
        <v>7</v>
      </c>
      <c r="B24" s="185" t="s">
        <v>96</v>
      </c>
      <c r="C24" s="158" t="s">
        <v>229</v>
      </c>
      <c r="D24" s="25"/>
      <c r="E24" s="2"/>
      <c r="F24" s="65"/>
      <c r="G24" s="224">
        <f>7137.72+7137.72</f>
        <v>14275.44</v>
      </c>
      <c r="H24" s="162">
        <v>2014</v>
      </c>
      <c r="I24" s="2"/>
      <c r="J24" s="162" t="s">
        <v>3</v>
      </c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33450</v>
      </c>
      <c r="G30" s="44">
        <f>SUM(G18:G28)</f>
        <v>51996.479999999996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f>F20</f>
        <v>5000</v>
      </c>
      <c r="G33" s="42">
        <f>G20</f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28450</v>
      </c>
      <c r="G34" s="42">
        <f>G30-G32-G33</f>
        <v>51996.479999999996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19452.72</v>
      </c>
      <c r="G35" s="46">
        <f>G16-G30</f>
        <v>28008.710000000006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106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H12:J12"/>
    <mergeCell ref="A13:E13"/>
    <mergeCell ref="H13:J13"/>
    <mergeCell ref="H15:J15"/>
    <mergeCell ref="A15:E15"/>
    <mergeCell ref="A9:K9"/>
    <mergeCell ref="A11:E11"/>
    <mergeCell ref="H11:J11"/>
    <mergeCell ref="A14:E14"/>
    <mergeCell ref="H14:J14"/>
    <mergeCell ref="I6:I7"/>
    <mergeCell ref="H32:J32"/>
    <mergeCell ref="A12:E12"/>
    <mergeCell ref="H34:J34"/>
    <mergeCell ref="A35:E35"/>
    <mergeCell ref="A16:E16"/>
    <mergeCell ref="H16:J16"/>
    <mergeCell ref="E6:E7"/>
    <mergeCell ref="H30:J30"/>
    <mergeCell ref="G6:G7"/>
    <mergeCell ref="B31:E31"/>
    <mergeCell ref="H31:J31"/>
    <mergeCell ref="B32:E32"/>
    <mergeCell ref="A30:E30"/>
    <mergeCell ref="H35:J35"/>
    <mergeCell ref="B33:E33"/>
    <mergeCell ref="H33:J33"/>
    <mergeCell ref="B34:E3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9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57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17</v>
      </c>
      <c r="D10" s="17">
        <v>5630.5</v>
      </c>
      <c r="E10" s="18" t="s">
        <v>6</v>
      </c>
      <c r="F10" s="19"/>
      <c r="G10" s="138"/>
      <c r="H10" s="11" t="s">
        <v>8</v>
      </c>
      <c r="I10" s="12">
        <v>1.2</v>
      </c>
      <c r="J10" s="13" t="s">
        <v>7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45000</v>
      </c>
      <c r="G11" s="44">
        <v>87677.9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D10*I10*12</f>
        <v>81079.2</v>
      </c>
      <c r="G12" s="41">
        <v>81079.2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42</v>
      </c>
      <c r="B14" s="273"/>
      <c r="C14" s="273"/>
      <c r="D14" s="273"/>
      <c r="E14" s="273"/>
      <c r="F14" s="41">
        <v>0</v>
      </c>
      <c r="G14" s="41">
        <v>1092.87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15693.33</v>
      </c>
      <c r="H15" s="250" t="s">
        <v>230</v>
      </c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126079.2</v>
      </c>
      <c r="G16" s="45">
        <f>G11+G12+G13+G14+G15</f>
        <v>185543.29999999996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96">
        <v>1</v>
      </c>
      <c r="B18" s="88" t="s">
        <v>19</v>
      </c>
      <c r="C18" s="88" t="s">
        <v>92</v>
      </c>
      <c r="D18" s="90"/>
      <c r="E18" s="90"/>
      <c r="F18" s="91">
        <v>40000</v>
      </c>
      <c r="G18" s="223">
        <f>7380+482.16+56431.96+6151.78</f>
        <v>70445.9</v>
      </c>
      <c r="H18" s="90">
        <v>2014</v>
      </c>
      <c r="I18" s="90"/>
      <c r="J18" s="90" t="s">
        <v>3</v>
      </c>
      <c r="K18" s="93"/>
    </row>
    <row r="19" spans="1:11" ht="12.75">
      <c r="A19" s="23">
        <v>2</v>
      </c>
      <c r="B19" s="22" t="s">
        <v>19</v>
      </c>
      <c r="C19" s="22" t="s">
        <v>120</v>
      </c>
      <c r="D19" s="4"/>
      <c r="E19" s="4"/>
      <c r="F19" s="31">
        <v>20000</v>
      </c>
      <c r="G19" s="232">
        <v>14302.44</v>
      </c>
      <c r="H19" s="4">
        <v>2014</v>
      </c>
      <c r="I19" s="2"/>
      <c r="J19" s="2" t="s">
        <v>3</v>
      </c>
      <c r="K19" s="24"/>
    </row>
    <row r="20" spans="1:11" s="130" customFormat="1" ht="12.75">
      <c r="A20" s="126">
        <v>3</v>
      </c>
      <c r="B20" s="51" t="s">
        <v>19</v>
      </c>
      <c r="C20" s="30" t="s">
        <v>123</v>
      </c>
      <c r="D20" s="4"/>
      <c r="E20" s="4"/>
      <c r="F20" s="31">
        <v>35000</v>
      </c>
      <c r="G20" s="232">
        <v>34128</v>
      </c>
      <c r="H20" s="4">
        <v>2014</v>
      </c>
      <c r="I20" s="128"/>
      <c r="J20" s="124" t="s">
        <v>3</v>
      </c>
      <c r="K20" s="129"/>
    </row>
    <row r="21" spans="1:11" ht="12.75">
      <c r="A21" s="29">
        <v>4</v>
      </c>
      <c r="B21" s="30" t="s">
        <v>19</v>
      </c>
      <c r="C21" s="30" t="s">
        <v>135</v>
      </c>
      <c r="D21" s="4" t="s">
        <v>142</v>
      </c>
      <c r="E21" s="4"/>
      <c r="F21" s="31">
        <f>720.6*25</f>
        <v>18015</v>
      </c>
      <c r="G21" s="232">
        <v>8265.45</v>
      </c>
      <c r="H21" s="4">
        <v>2014</v>
      </c>
      <c r="I21" s="68"/>
      <c r="J21" s="124" t="s">
        <v>3</v>
      </c>
      <c r="K21" s="32"/>
    </row>
    <row r="22" spans="1:11" ht="12.75">
      <c r="A22" s="29">
        <v>5</v>
      </c>
      <c r="B22" s="30"/>
      <c r="C22" s="30" t="s">
        <v>20</v>
      </c>
      <c r="D22" s="4"/>
      <c r="E22" s="4"/>
      <c r="F22" s="31">
        <v>12000</v>
      </c>
      <c r="G22" s="64"/>
      <c r="H22" s="4">
        <v>2014</v>
      </c>
      <c r="I22" s="68"/>
      <c r="J22" s="124" t="s">
        <v>4</v>
      </c>
      <c r="K22" s="32"/>
    </row>
    <row r="23" spans="1:11" ht="12.75">
      <c r="A23" s="29">
        <v>6</v>
      </c>
      <c r="B23" s="185" t="s">
        <v>19</v>
      </c>
      <c r="C23" s="185" t="s">
        <v>236</v>
      </c>
      <c r="D23" s="162"/>
      <c r="E23" s="162"/>
      <c r="F23" s="159"/>
      <c r="G23" s="218">
        <f>20197.53+336.96</f>
        <v>20534.489999999998</v>
      </c>
      <c r="H23" s="162">
        <v>2014</v>
      </c>
      <c r="I23" s="162"/>
      <c r="J23" s="161" t="s">
        <v>3</v>
      </c>
      <c r="K23" s="32"/>
    </row>
    <row r="24" spans="1:11" ht="12.75">
      <c r="A24" s="28">
        <v>7</v>
      </c>
      <c r="B24" s="183"/>
      <c r="C24" s="158"/>
      <c r="D24" s="166"/>
      <c r="E24" s="95"/>
      <c r="F24" s="167"/>
      <c r="G24" s="167"/>
      <c r="H24" s="95"/>
      <c r="I24" s="95"/>
      <c r="J24" s="166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64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64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65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09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125015</v>
      </c>
      <c r="G30" s="44">
        <f>SUM(G18:G28)</f>
        <v>147676.28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f>F22</f>
        <v>12000</v>
      </c>
      <c r="G33" s="42">
        <f>G22</f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113015</v>
      </c>
      <c r="G34" s="42">
        <f>G30-G32-G33</f>
        <v>147676.28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1064.199999999997</v>
      </c>
      <c r="G35" s="46">
        <f>G16-G30</f>
        <v>37867.01999999996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107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H12:J12"/>
    <mergeCell ref="A13:E13"/>
    <mergeCell ref="H13:J13"/>
    <mergeCell ref="H15:J15"/>
    <mergeCell ref="A15:E15"/>
    <mergeCell ref="A9:K9"/>
    <mergeCell ref="A11:E11"/>
    <mergeCell ref="H11:J11"/>
    <mergeCell ref="A14:E14"/>
    <mergeCell ref="H14:J14"/>
    <mergeCell ref="I6:I7"/>
    <mergeCell ref="H32:J32"/>
    <mergeCell ref="A12:E12"/>
    <mergeCell ref="H34:J34"/>
    <mergeCell ref="A35:E35"/>
    <mergeCell ref="A16:E16"/>
    <mergeCell ref="H16:J16"/>
    <mergeCell ref="E6:E7"/>
    <mergeCell ref="H30:J30"/>
    <mergeCell ref="G6:G7"/>
    <mergeCell ref="B31:E31"/>
    <mergeCell ref="H31:J31"/>
    <mergeCell ref="B32:E32"/>
    <mergeCell ref="A30:E30"/>
    <mergeCell ref="H35:J35"/>
    <mergeCell ref="B33:E33"/>
    <mergeCell ref="H33:J33"/>
    <mergeCell ref="B34:E3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2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84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45</v>
      </c>
      <c r="D10" s="17">
        <v>751.9</v>
      </c>
      <c r="E10" s="18" t="s">
        <v>6</v>
      </c>
      <c r="F10" s="19"/>
      <c r="G10" s="138"/>
      <c r="H10" s="11" t="s">
        <v>8</v>
      </c>
      <c r="I10" s="12">
        <v>0.5</v>
      </c>
      <c r="J10" s="13" t="s">
        <v>7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10000</v>
      </c>
      <c r="G11" s="44">
        <v>23936.66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D10*I10*12</f>
        <v>4511.4</v>
      </c>
      <c r="G12" s="41">
        <f>2255.7+2255.7</f>
        <v>4511.4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42</v>
      </c>
      <c r="B14" s="273"/>
      <c r="C14" s="273"/>
      <c r="D14" s="273"/>
      <c r="E14" s="273"/>
      <c r="F14" s="41">
        <v>0</v>
      </c>
      <c r="G14" s="41">
        <v>0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0</v>
      </c>
      <c r="H15" s="250"/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14511.4</v>
      </c>
      <c r="G16" s="45">
        <f>G11+G12+G13+G14+G15</f>
        <v>28448.059999999998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87">
        <v>1</v>
      </c>
      <c r="B18" s="99" t="s">
        <v>23</v>
      </c>
      <c r="C18" s="97" t="s">
        <v>20</v>
      </c>
      <c r="D18" s="89"/>
      <c r="E18" s="90"/>
      <c r="F18" s="101">
        <v>10000</v>
      </c>
      <c r="G18" s="91"/>
      <c r="H18" s="92">
        <v>2014</v>
      </c>
      <c r="I18" s="90"/>
      <c r="J18" s="89" t="s">
        <v>4</v>
      </c>
      <c r="K18" s="93"/>
    </row>
    <row r="19" spans="1:11" ht="12.75">
      <c r="A19" s="28">
        <v>2</v>
      </c>
      <c r="B19" s="27"/>
      <c r="C19" s="30"/>
      <c r="D19" s="25"/>
      <c r="E19" s="2"/>
      <c r="F19" s="26"/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10000</v>
      </c>
      <c r="G30" s="44">
        <f>SUM(G18:G28)</f>
        <v>0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f>F18</f>
        <v>10000</v>
      </c>
      <c r="G33" s="42">
        <f>G18</f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0</v>
      </c>
      <c r="G34" s="42">
        <f>G30-G32-G33</f>
        <v>0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4511.4</v>
      </c>
      <c r="G35" s="46">
        <f>G16-G30</f>
        <v>28448.059999999998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108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35:E35"/>
    <mergeCell ref="H35:J35"/>
    <mergeCell ref="B33:E33"/>
    <mergeCell ref="H33:J33"/>
    <mergeCell ref="B34:E34"/>
    <mergeCell ref="H34:J34"/>
    <mergeCell ref="B31:E31"/>
    <mergeCell ref="H31:J31"/>
    <mergeCell ref="B32:E32"/>
    <mergeCell ref="H32:J32"/>
    <mergeCell ref="A16:E16"/>
    <mergeCell ref="H16:J16"/>
    <mergeCell ref="A30:E30"/>
    <mergeCell ref="H30:J30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4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87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45</v>
      </c>
      <c r="D10" s="17">
        <v>225</v>
      </c>
      <c r="E10" s="18" t="s">
        <v>6</v>
      </c>
      <c r="F10" s="19"/>
      <c r="G10" s="138"/>
      <c r="H10" s="11" t="s">
        <v>8</v>
      </c>
      <c r="I10" s="12">
        <v>0.5</v>
      </c>
      <c r="J10" s="13" t="s">
        <v>7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7000</v>
      </c>
      <c r="G11" s="44">
        <v>8239.5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D10*I10*12</f>
        <v>1350</v>
      </c>
      <c r="G12" s="41">
        <f>675+675</f>
        <v>1350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42</v>
      </c>
      <c r="B14" s="273"/>
      <c r="C14" s="273"/>
      <c r="D14" s="273"/>
      <c r="E14" s="273"/>
      <c r="F14" s="41">
        <v>0</v>
      </c>
      <c r="G14" s="41">
        <v>0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0</v>
      </c>
      <c r="H15" s="250"/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8350</v>
      </c>
      <c r="G16" s="45">
        <f>G11+G12+G13+G14+G15</f>
        <v>9589.5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87">
        <v>1</v>
      </c>
      <c r="B18" s="99" t="s">
        <v>24</v>
      </c>
      <c r="C18" s="97" t="s">
        <v>20</v>
      </c>
      <c r="D18" s="89"/>
      <c r="E18" s="90"/>
      <c r="F18" s="101">
        <v>5000</v>
      </c>
      <c r="G18" s="91"/>
      <c r="H18" s="92">
        <v>2014</v>
      </c>
      <c r="I18" s="90"/>
      <c r="J18" s="89" t="s">
        <v>4</v>
      </c>
      <c r="K18" s="93"/>
    </row>
    <row r="19" spans="1:11" ht="12.75">
      <c r="A19" s="28">
        <v>2</v>
      </c>
      <c r="B19" s="27"/>
      <c r="C19" s="30"/>
      <c r="D19" s="25"/>
      <c r="E19" s="2"/>
      <c r="F19" s="26"/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5000</v>
      </c>
      <c r="G30" s="44">
        <f>SUM(G18:G28)</f>
        <v>0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f>F18</f>
        <v>5000</v>
      </c>
      <c r="G33" s="42">
        <f>G18</f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0</v>
      </c>
      <c r="G34" s="42">
        <f>G30-G32-G33</f>
        <v>0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3350</v>
      </c>
      <c r="G35" s="46">
        <f>G16-G30</f>
        <v>9589.5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109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35:E35"/>
    <mergeCell ref="H35:J35"/>
    <mergeCell ref="B33:E33"/>
    <mergeCell ref="H33:J33"/>
    <mergeCell ref="B34:E34"/>
    <mergeCell ref="H34:J34"/>
    <mergeCell ref="B31:E31"/>
    <mergeCell ref="H31:J31"/>
    <mergeCell ref="B32:E32"/>
    <mergeCell ref="H32:J32"/>
    <mergeCell ref="A16:E16"/>
    <mergeCell ref="H16:J16"/>
    <mergeCell ref="A30:E30"/>
    <mergeCell ref="H30:J30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8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85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45</v>
      </c>
      <c r="D10" s="17">
        <v>196.1</v>
      </c>
      <c r="E10" s="18" t="s">
        <v>6</v>
      </c>
      <c r="F10" s="19"/>
      <c r="G10" s="138"/>
      <c r="H10" s="11" t="s">
        <v>8</v>
      </c>
      <c r="I10" s="12">
        <v>0.5</v>
      </c>
      <c r="J10" s="13" t="s">
        <v>7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10000</v>
      </c>
      <c r="G11" s="44">
        <v>9079.41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D10*I10*12</f>
        <v>1176.6</v>
      </c>
      <c r="G12" s="41">
        <v>1176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42</v>
      </c>
      <c r="B14" s="273"/>
      <c r="C14" s="273"/>
      <c r="D14" s="273"/>
      <c r="E14" s="273"/>
      <c r="F14" s="41">
        <v>0</v>
      </c>
      <c r="G14" s="41">
        <v>0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0</v>
      </c>
      <c r="H15" s="250"/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11176.6</v>
      </c>
      <c r="G16" s="45">
        <f>G11+G12+G13+G14+G15</f>
        <v>10255.41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87">
        <v>1</v>
      </c>
      <c r="B18" s="99" t="s">
        <v>25</v>
      </c>
      <c r="C18" s="97" t="s">
        <v>20</v>
      </c>
      <c r="D18" s="89"/>
      <c r="E18" s="90"/>
      <c r="F18" s="101">
        <v>5000</v>
      </c>
      <c r="G18" s="91"/>
      <c r="H18" s="92">
        <v>2014</v>
      </c>
      <c r="I18" s="90"/>
      <c r="J18" s="89" t="s">
        <v>4</v>
      </c>
      <c r="K18" s="93"/>
    </row>
    <row r="19" spans="1:11" ht="12.75">
      <c r="A19" s="28">
        <v>2</v>
      </c>
      <c r="B19" s="183" t="s">
        <v>212</v>
      </c>
      <c r="C19" s="185" t="s">
        <v>203</v>
      </c>
      <c r="D19" s="166"/>
      <c r="E19" s="95"/>
      <c r="F19" s="186"/>
      <c r="G19" s="224">
        <v>1696.27</v>
      </c>
      <c r="H19" s="162">
        <v>2014</v>
      </c>
      <c r="I19" s="95"/>
      <c r="J19" s="166" t="s">
        <v>3</v>
      </c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5000</v>
      </c>
      <c r="G30" s="44">
        <f>SUM(G18:G28)</f>
        <v>1696.27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f>F18</f>
        <v>5000</v>
      </c>
      <c r="G33" s="42">
        <f>G18</f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0</v>
      </c>
      <c r="G34" s="42">
        <f>G30-G32-G33</f>
        <v>1696.27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6176.6</v>
      </c>
      <c r="G35" s="46">
        <f>G16-G30</f>
        <v>8559.14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110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35:E35"/>
    <mergeCell ref="H35:J35"/>
    <mergeCell ref="B33:E33"/>
    <mergeCell ref="H33:J33"/>
    <mergeCell ref="B34:E34"/>
    <mergeCell ref="H34:J34"/>
    <mergeCell ref="B31:E31"/>
    <mergeCell ref="H31:J31"/>
    <mergeCell ref="B32:E32"/>
    <mergeCell ref="H32:J32"/>
    <mergeCell ref="A16:E16"/>
    <mergeCell ref="H16:J16"/>
    <mergeCell ref="A30:E30"/>
    <mergeCell ref="H30:J30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9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86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45</v>
      </c>
      <c r="D10" s="17"/>
      <c r="E10" s="18" t="s">
        <v>6</v>
      </c>
      <c r="F10" s="19"/>
      <c r="G10" s="138"/>
      <c r="H10" s="11" t="s">
        <v>8</v>
      </c>
      <c r="I10" s="12"/>
      <c r="J10" s="13" t="s">
        <v>7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25000</v>
      </c>
      <c r="G11" s="44">
        <v>17343.44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v>6649</v>
      </c>
      <c r="G12" s="41">
        <f>1643.1+4473.75+2039.88</f>
        <v>8156.7300000000005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42</v>
      </c>
      <c r="B14" s="273"/>
      <c r="C14" s="273"/>
      <c r="D14" s="273"/>
      <c r="E14" s="273"/>
      <c r="F14" s="41">
        <v>0</v>
      </c>
      <c r="G14" s="41">
        <v>0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0</v>
      </c>
      <c r="H15" s="250"/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31649</v>
      </c>
      <c r="G16" s="45">
        <f>G11+G12+G13+G14+G15</f>
        <v>25500.17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4.25" customHeight="1">
      <c r="A18" s="87">
        <v>1</v>
      </c>
      <c r="B18" s="151" t="s">
        <v>43</v>
      </c>
      <c r="C18" s="99" t="s">
        <v>20</v>
      </c>
      <c r="D18" s="89"/>
      <c r="E18" s="90"/>
      <c r="F18" s="101">
        <v>10000</v>
      </c>
      <c r="G18" s="91"/>
      <c r="H18" s="92">
        <v>2014</v>
      </c>
      <c r="I18" s="90"/>
      <c r="J18" s="102" t="s">
        <v>4</v>
      </c>
      <c r="K18" s="103"/>
    </row>
    <row r="19" spans="1:11" ht="12.75">
      <c r="A19" s="28">
        <v>2</v>
      </c>
      <c r="B19" s="183" t="s">
        <v>43</v>
      </c>
      <c r="C19" s="185" t="s">
        <v>176</v>
      </c>
      <c r="D19" s="166"/>
      <c r="E19" s="95"/>
      <c r="F19" s="186"/>
      <c r="G19" s="224">
        <f>1176.86+532.8</f>
        <v>1709.6599999999999</v>
      </c>
      <c r="H19" s="162">
        <v>2014</v>
      </c>
      <c r="I19" s="2"/>
      <c r="J19" s="166" t="s">
        <v>3</v>
      </c>
      <c r="K19" s="24"/>
    </row>
    <row r="20" spans="1:11" ht="12.75">
      <c r="A20" s="29">
        <v>3</v>
      </c>
      <c r="B20" s="183" t="s">
        <v>43</v>
      </c>
      <c r="C20" s="185" t="s">
        <v>228</v>
      </c>
      <c r="D20" s="162"/>
      <c r="E20" s="162"/>
      <c r="F20" s="186"/>
      <c r="G20" s="219">
        <v>6150</v>
      </c>
      <c r="H20" s="162">
        <v>2014</v>
      </c>
      <c r="I20" s="4"/>
      <c r="J20" s="166" t="s">
        <v>3</v>
      </c>
      <c r="K20" s="33"/>
    </row>
    <row r="21" spans="1:11" ht="12.75">
      <c r="A21" s="29">
        <v>4</v>
      </c>
      <c r="B21" s="185"/>
      <c r="C21" s="185"/>
      <c r="D21" s="162"/>
      <c r="E21" s="162"/>
      <c r="F21" s="159"/>
      <c r="G21" s="159"/>
      <c r="H21" s="4"/>
      <c r="I21" s="4"/>
      <c r="J21" s="4"/>
      <c r="K21" s="32"/>
    </row>
    <row r="22" spans="1:11" ht="12.75">
      <c r="A22" s="29">
        <v>5</v>
      </c>
      <c r="B22" s="185"/>
      <c r="C22" s="185"/>
      <c r="D22" s="162"/>
      <c r="E22" s="162"/>
      <c r="F22" s="159"/>
      <c r="G22" s="159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10000</v>
      </c>
      <c r="G30" s="44">
        <f>SUM(G18:G28)</f>
        <v>7859.66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f>F18</f>
        <v>10000</v>
      </c>
      <c r="G33" s="42">
        <f>G18</f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0</v>
      </c>
      <c r="G34" s="42">
        <f>G30-G32-G33</f>
        <v>7859.66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21649</v>
      </c>
      <c r="G35" s="46">
        <f>G16-G30</f>
        <v>17640.51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111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35:E35"/>
    <mergeCell ref="H35:J35"/>
    <mergeCell ref="B33:E33"/>
    <mergeCell ref="H33:J33"/>
    <mergeCell ref="B34:E34"/>
    <mergeCell ref="H34:J34"/>
    <mergeCell ref="B31:E31"/>
    <mergeCell ref="H31:J31"/>
    <mergeCell ref="B32:E32"/>
    <mergeCell ref="H32:J32"/>
    <mergeCell ref="A16:E16"/>
    <mergeCell ref="H16:J16"/>
    <mergeCell ref="A30:E30"/>
    <mergeCell ref="H30:J30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0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58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27</v>
      </c>
      <c r="D10" s="17">
        <f>161+163</f>
        <v>324</v>
      </c>
      <c r="E10" s="18" t="s">
        <v>30</v>
      </c>
      <c r="F10" s="19"/>
      <c r="G10" s="138"/>
      <c r="H10" s="11" t="s">
        <v>8</v>
      </c>
      <c r="I10" s="134">
        <f>F12/D10/12</f>
        <v>7.775720164609054</v>
      </c>
      <c r="J10" s="13" t="s">
        <v>31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50000</v>
      </c>
      <c r="G11" s="44">
        <v>79285.64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30232</f>
        <v>30232</v>
      </c>
      <c r="G12" s="41">
        <f>15116+15116+12768</f>
        <v>43000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v>0</v>
      </c>
      <c r="G13" s="41"/>
      <c r="H13" s="250"/>
      <c r="I13" s="271"/>
      <c r="J13" s="271"/>
      <c r="K13" s="54"/>
    </row>
    <row r="14" spans="1:11" s="40" customFormat="1" ht="12.75" customHeight="1">
      <c r="A14" s="272" t="s">
        <v>83</v>
      </c>
      <c r="B14" s="273"/>
      <c r="C14" s="273"/>
      <c r="D14" s="273"/>
      <c r="E14" s="273"/>
      <c r="F14" s="41">
        <v>12816</v>
      </c>
      <c r="G14" s="41">
        <v>0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/>
      <c r="H15" s="250"/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93048</v>
      </c>
      <c r="G16" s="45">
        <f>G11+G12+G13+G14+G15</f>
        <v>122285.64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4.25" customHeight="1">
      <c r="A18" s="87">
        <v>1</v>
      </c>
      <c r="B18" s="99" t="s">
        <v>46</v>
      </c>
      <c r="C18" s="99" t="s">
        <v>20</v>
      </c>
      <c r="D18" s="89"/>
      <c r="E18" s="90"/>
      <c r="F18" s="101">
        <v>10000</v>
      </c>
      <c r="G18" s="91"/>
      <c r="H18" s="92">
        <v>2014</v>
      </c>
      <c r="I18" s="90"/>
      <c r="J18" s="102" t="s">
        <v>3</v>
      </c>
      <c r="K18" s="103"/>
    </row>
    <row r="19" spans="1:11" ht="14.25" customHeight="1">
      <c r="A19" s="28">
        <v>2</v>
      </c>
      <c r="B19" s="27" t="s">
        <v>32</v>
      </c>
      <c r="C19" s="27" t="s">
        <v>20</v>
      </c>
      <c r="D19" s="25"/>
      <c r="E19" s="2"/>
      <c r="F19" s="26">
        <v>10000</v>
      </c>
      <c r="G19" s="3"/>
      <c r="H19" s="4">
        <v>2014</v>
      </c>
      <c r="I19" s="2"/>
      <c r="J19" s="25" t="s">
        <v>3</v>
      </c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20000</v>
      </c>
      <c r="G30" s="44">
        <f>SUM(G18:G28)</f>
        <v>0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v>0</v>
      </c>
      <c r="G33" s="42"/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20000</v>
      </c>
      <c r="G34" s="42">
        <f>G30-G32-G33</f>
        <v>0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73048</v>
      </c>
      <c r="G35" s="46">
        <f>G16-G30</f>
        <v>122285.64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112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35:E35"/>
    <mergeCell ref="H35:J35"/>
    <mergeCell ref="B33:E33"/>
    <mergeCell ref="H33:J33"/>
    <mergeCell ref="B34:E34"/>
    <mergeCell ref="H34:J34"/>
    <mergeCell ref="B31:E31"/>
    <mergeCell ref="H31:J31"/>
    <mergeCell ref="B32:E32"/>
    <mergeCell ref="H32:J32"/>
    <mergeCell ref="A16:E16"/>
    <mergeCell ref="H16:J16"/>
    <mergeCell ref="A30:E30"/>
    <mergeCell ref="H30:J30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7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59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27</v>
      </c>
      <c r="D10" s="17">
        <v>163</v>
      </c>
      <c r="E10" s="18" t="s">
        <v>30</v>
      </c>
      <c r="F10" s="19"/>
      <c r="G10" s="138"/>
      <c r="H10" s="11" t="s">
        <v>8</v>
      </c>
      <c r="I10" s="134">
        <f>F12/D10/12</f>
        <v>6.860940695296524</v>
      </c>
      <c r="J10" s="13" t="s">
        <v>31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20000</v>
      </c>
      <c r="G11" s="44">
        <v>37373.38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13420</f>
        <v>13420</v>
      </c>
      <c r="G12" s="41">
        <v>19900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83</v>
      </c>
      <c r="B14" s="273"/>
      <c r="C14" s="273"/>
      <c r="D14" s="273"/>
      <c r="E14" s="273"/>
      <c r="F14" s="41">
        <v>7656</v>
      </c>
      <c r="G14" s="41">
        <v>0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0</v>
      </c>
      <c r="H15" s="250"/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41076</v>
      </c>
      <c r="G16" s="45">
        <f>G11+G12+G13+G14+G15</f>
        <v>57273.38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4.25" customHeight="1">
      <c r="A18" s="87">
        <v>1</v>
      </c>
      <c r="B18" s="99" t="s">
        <v>18</v>
      </c>
      <c r="C18" s="99" t="s">
        <v>20</v>
      </c>
      <c r="D18" s="89"/>
      <c r="E18" s="90"/>
      <c r="F18" s="101">
        <v>10000</v>
      </c>
      <c r="G18" s="91"/>
      <c r="H18" s="89">
        <v>2014</v>
      </c>
      <c r="I18" s="90"/>
      <c r="J18" s="102" t="s">
        <v>3</v>
      </c>
      <c r="K18" s="103"/>
    </row>
    <row r="19" spans="1:11" ht="14.25" customHeight="1">
      <c r="A19" s="28">
        <v>2</v>
      </c>
      <c r="B19" s="27"/>
      <c r="C19" s="27"/>
      <c r="D19" s="25"/>
      <c r="E19" s="2"/>
      <c r="F19" s="26"/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10000</v>
      </c>
      <c r="G30" s="44">
        <f>SUM(G18:G28)</f>
        <v>0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v>0</v>
      </c>
      <c r="G33" s="42"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10000</v>
      </c>
      <c r="G34" s="42">
        <f>G30-G32-G33</f>
        <v>0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31076</v>
      </c>
      <c r="G35" s="46">
        <f>G16-G30</f>
        <v>57273.38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113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B33:E33"/>
    <mergeCell ref="H33:J33"/>
    <mergeCell ref="B34:E34"/>
    <mergeCell ref="H34:J34"/>
    <mergeCell ref="A35:E35"/>
    <mergeCell ref="H35:J35"/>
    <mergeCell ref="B31:E31"/>
    <mergeCell ref="H31:J31"/>
    <mergeCell ref="B32:E32"/>
    <mergeCell ref="H32:J32"/>
    <mergeCell ref="A16:E16"/>
    <mergeCell ref="H16:J16"/>
    <mergeCell ref="A30:E30"/>
    <mergeCell ref="H30:J30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8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60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27</v>
      </c>
      <c r="D10" s="17">
        <v>175</v>
      </c>
      <c r="E10" s="18" t="s">
        <v>30</v>
      </c>
      <c r="F10" s="19"/>
      <c r="G10" s="138"/>
      <c r="H10" s="11" t="s">
        <v>8</v>
      </c>
      <c r="I10" s="134">
        <f>F12/D10/12</f>
        <v>6.590476190476191</v>
      </c>
      <c r="J10" s="13" t="s">
        <v>31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25000</v>
      </c>
      <c r="G11" s="44">
        <v>41541.81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13840</f>
        <v>13840</v>
      </c>
      <c r="G12" s="41">
        <f>21520</f>
        <v>21520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83</v>
      </c>
      <c r="B14" s="273"/>
      <c r="C14" s="273"/>
      <c r="D14" s="273"/>
      <c r="E14" s="273"/>
      <c r="F14" s="41">
        <v>7656</v>
      </c>
      <c r="G14" s="41">
        <v>0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0</v>
      </c>
      <c r="H15" s="250"/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46496</v>
      </c>
      <c r="G16" s="45">
        <f>G11+G12+G13+G14+G15</f>
        <v>63061.81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4.25" customHeight="1">
      <c r="A18" s="87">
        <v>1</v>
      </c>
      <c r="B18" s="99" t="s">
        <v>34</v>
      </c>
      <c r="C18" s="99" t="s">
        <v>20</v>
      </c>
      <c r="D18" s="89"/>
      <c r="E18" s="90"/>
      <c r="F18" s="101">
        <v>10000</v>
      </c>
      <c r="G18" s="91"/>
      <c r="H18" s="89">
        <v>2014</v>
      </c>
      <c r="I18" s="90"/>
      <c r="J18" s="102" t="s">
        <v>3</v>
      </c>
      <c r="K18" s="103"/>
    </row>
    <row r="19" spans="1:11" ht="14.25" customHeight="1">
      <c r="A19" s="28">
        <v>2</v>
      </c>
      <c r="B19" s="27"/>
      <c r="C19" s="27"/>
      <c r="D19" s="25"/>
      <c r="E19" s="2"/>
      <c r="F19" s="26"/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10000</v>
      </c>
      <c r="G30" s="44">
        <f>SUM(G18:G28)</f>
        <v>0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v>0</v>
      </c>
      <c r="G33" s="42"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10000</v>
      </c>
      <c r="G34" s="42">
        <f>G30-G32-G33</f>
        <v>0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36496</v>
      </c>
      <c r="G35" s="46">
        <f>G16-G30</f>
        <v>63061.81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114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35:E35"/>
    <mergeCell ref="H35:J35"/>
    <mergeCell ref="B33:E33"/>
    <mergeCell ref="H33:J33"/>
    <mergeCell ref="B34:E34"/>
    <mergeCell ref="H34:J34"/>
    <mergeCell ref="B31:E31"/>
    <mergeCell ref="H31:J31"/>
    <mergeCell ref="B32:E32"/>
    <mergeCell ref="H32:J32"/>
    <mergeCell ref="A16:E16"/>
    <mergeCell ref="H16:J16"/>
    <mergeCell ref="A30:E30"/>
    <mergeCell ref="H30:J30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9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61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27</v>
      </c>
      <c r="D10" s="17">
        <v>255</v>
      </c>
      <c r="E10" s="18" t="s">
        <v>30</v>
      </c>
      <c r="F10" s="19"/>
      <c r="G10" s="138"/>
      <c r="H10" s="11" t="s">
        <v>8</v>
      </c>
      <c r="I10" s="134">
        <f>F12/D10/12</f>
        <v>16.9281045751634</v>
      </c>
      <c r="J10" s="13" t="s">
        <v>31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-30000</v>
      </c>
      <c r="G11" s="44">
        <v>-43443.89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51800</f>
        <v>51800</v>
      </c>
      <c r="G12" s="41">
        <v>51800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42</v>
      </c>
      <c r="B14" s="273"/>
      <c r="C14" s="273"/>
      <c r="D14" s="273"/>
      <c r="E14" s="273"/>
      <c r="F14" s="41">
        <v>0</v>
      </c>
      <c r="G14" s="41">
        <v>0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0</v>
      </c>
      <c r="H15" s="250"/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21800</v>
      </c>
      <c r="G16" s="45">
        <f>G11+G12+G13+G14+G15</f>
        <v>8356.11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4.25" customHeight="1">
      <c r="A18" s="87">
        <v>1</v>
      </c>
      <c r="B18" s="99" t="s">
        <v>43</v>
      </c>
      <c r="C18" s="99" t="s">
        <v>20</v>
      </c>
      <c r="D18" s="89"/>
      <c r="E18" s="90"/>
      <c r="F18" s="101">
        <v>10000</v>
      </c>
      <c r="G18" s="91"/>
      <c r="H18" s="89">
        <v>2014</v>
      </c>
      <c r="I18" s="90"/>
      <c r="J18" s="102" t="s">
        <v>3</v>
      </c>
      <c r="K18" s="103"/>
    </row>
    <row r="19" spans="1:11" ht="12.75">
      <c r="A19" s="28">
        <v>2</v>
      </c>
      <c r="B19" s="183" t="s">
        <v>224</v>
      </c>
      <c r="C19" s="185" t="s">
        <v>223</v>
      </c>
      <c r="D19" s="25"/>
      <c r="E19" s="2"/>
      <c r="F19" s="26"/>
      <c r="G19" s="224">
        <v>7554.32</v>
      </c>
      <c r="H19" s="162">
        <v>2014</v>
      </c>
      <c r="I19" s="2"/>
      <c r="J19" s="166" t="s">
        <v>3</v>
      </c>
      <c r="K19" s="24"/>
    </row>
    <row r="20" spans="1:11" ht="12.75">
      <c r="A20" s="29">
        <v>3</v>
      </c>
      <c r="B20" s="183" t="s">
        <v>224</v>
      </c>
      <c r="C20" s="185" t="s">
        <v>225</v>
      </c>
      <c r="D20" s="4"/>
      <c r="E20" s="4"/>
      <c r="F20" s="26"/>
      <c r="G20" s="219">
        <v>3200.28</v>
      </c>
      <c r="H20" s="162">
        <v>2014</v>
      </c>
      <c r="I20" s="4"/>
      <c r="J20" s="166" t="s">
        <v>3</v>
      </c>
      <c r="K20" s="33"/>
    </row>
    <row r="21" spans="1:11" ht="12.75">
      <c r="A21" s="29">
        <v>4</v>
      </c>
      <c r="B21" s="183" t="s">
        <v>226</v>
      </c>
      <c r="C21" s="185" t="s">
        <v>227</v>
      </c>
      <c r="D21" s="4"/>
      <c r="E21" s="4"/>
      <c r="F21" s="31"/>
      <c r="G21" s="219">
        <v>17838.53</v>
      </c>
      <c r="H21" s="162">
        <v>2014</v>
      </c>
      <c r="I21" s="4"/>
      <c r="J21" s="166" t="s">
        <v>3</v>
      </c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10000</v>
      </c>
      <c r="G30" s="44">
        <f>SUM(G18:G28)</f>
        <v>28593.129999999997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v>0</v>
      </c>
      <c r="G33" s="42"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10000</v>
      </c>
      <c r="G34" s="42">
        <f>G30-G32-G33</f>
        <v>28593.129999999997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11800</v>
      </c>
      <c r="G35" s="46">
        <f>G16-G30</f>
        <v>-20237.019999999997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115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35:E35"/>
    <mergeCell ref="H35:J35"/>
    <mergeCell ref="B33:E33"/>
    <mergeCell ref="H33:J33"/>
    <mergeCell ref="B34:E34"/>
    <mergeCell ref="H34:J34"/>
    <mergeCell ref="B31:E31"/>
    <mergeCell ref="H31:J31"/>
    <mergeCell ref="B32:E32"/>
    <mergeCell ref="H32:J32"/>
    <mergeCell ref="A16:E16"/>
    <mergeCell ref="H16:J16"/>
    <mergeCell ref="A30:E30"/>
    <mergeCell ref="H30:J30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50" zoomScaleNormal="150" zoomScalePageLayoutView="0" workbookViewId="0" topLeftCell="A9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6.2812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44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132</v>
      </c>
      <c r="D10" s="17">
        <f>6756.45-64.2-63.6-2889-22.9</f>
        <v>3716.7499999999995</v>
      </c>
      <c r="E10" s="18" t="s">
        <v>6</v>
      </c>
      <c r="F10" s="19"/>
      <c r="G10" s="154">
        <f>64.2+63.6</f>
        <v>127.80000000000001</v>
      </c>
      <c r="H10" s="13" t="s">
        <v>154</v>
      </c>
      <c r="I10" s="12" t="s">
        <v>155</v>
      </c>
      <c r="J10" s="13" t="s">
        <v>7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40000</v>
      </c>
      <c r="G11" s="44">
        <f>1321330.8-7.67</f>
        <v>1321323.1300000001</v>
      </c>
      <c r="H11" s="283" t="s">
        <v>180</v>
      </c>
      <c r="I11" s="284"/>
      <c r="J11" s="284"/>
      <c r="K11" s="285"/>
    </row>
    <row r="12" spans="1:11" s="14" customFormat="1" ht="13.5" customHeight="1">
      <c r="A12" s="269" t="s">
        <v>39</v>
      </c>
      <c r="B12" s="270"/>
      <c r="C12" s="270"/>
      <c r="D12" s="270"/>
      <c r="E12" s="270"/>
      <c r="F12" s="41">
        <v>0</v>
      </c>
      <c r="G12" s="41"/>
      <c r="H12" s="250"/>
      <c r="I12" s="271"/>
      <c r="J12" s="271"/>
      <c r="K12" s="54"/>
    </row>
    <row r="13" spans="1:11" s="40" customFormat="1" ht="12.75" customHeight="1">
      <c r="A13" s="272" t="s">
        <v>48</v>
      </c>
      <c r="B13" s="273"/>
      <c r="C13" s="273"/>
      <c r="D13" s="273"/>
      <c r="E13" s="273"/>
      <c r="F13" s="41">
        <v>89703.4</v>
      </c>
      <c r="G13" s="41">
        <v>90859.3</v>
      </c>
      <c r="H13" s="250"/>
      <c r="I13" s="271"/>
      <c r="J13" s="271"/>
      <c r="K13" s="54"/>
    </row>
    <row r="14" spans="1:11" s="40" customFormat="1" ht="12.75" customHeight="1">
      <c r="A14" s="272" t="s">
        <v>42</v>
      </c>
      <c r="B14" s="273"/>
      <c r="C14" s="273"/>
      <c r="D14" s="273"/>
      <c r="E14" s="273"/>
      <c r="F14" s="117"/>
      <c r="G14" s="41">
        <v>0.72</v>
      </c>
      <c r="H14" s="250"/>
      <c r="I14" s="271"/>
      <c r="J14" s="271"/>
      <c r="K14" s="54"/>
    </row>
    <row r="15" spans="1:11" s="14" customFormat="1" ht="13.5" customHeight="1">
      <c r="A15" s="269" t="s">
        <v>91</v>
      </c>
      <c r="B15" s="270"/>
      <c r="C15" s="270"/>
      <c r="D15" s="270"/>
      <c r="E15" s="270"/>
      <c r="F15" s="41">
        <v>0</v>
      </c>
      <c r="G15" s="41">
        <v>-251700</v>
      </c>
      <c r="H15" s="250" t="s">
        <v>230</v>
      </c>
      <c r="I15" s="271"/>
      <c r="J15" s="271"/>
      <c r="K15" s="54"/>
    </row>
    <row r="16" spans="1:11" s="39" customFormat="1" ht="12.75" customHeight="1" thickBot="1">
      <c r="A16" s="244" t="s">
        <v>89</v>
      </c>
      <c r="B16" s="245"/>
      <c r="C16" s="245"/>
      <c r="D16" s="245"/>
      <c r="E16" s="245"/>
      <c r="F16" s="45">
        <f>F11+F12+F13+F14+F15</f>
        <v>129703.4</v>
      </c>
      <c r="G16" s="45">
        <f>G11+G12+G13+G14+G15</f>
        <v>1160483.1500000001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145">
        <v>1</v>
      </c>
      <c r="B18" s="70" t="s">
        <v>94</v>
      </c>
      <c r="C18" s="122" t="s">
        <v>159</v>
      </c>
      <c r="D18" s="123"/>
      <c r="E18" s="122"/>
      <c r="F18" s="155">
        <v>100000</v>
      </c>
      <c r="G18" s="156"/>
      <c r="H18" s="123">
        <v>2014</v>
      </c>
      <c r="I18" s="122"/>
      <c r="J18" s="157" t="s">
        <v>3</v>
      </c>
      <c r="K18" s="201" t="s">
        <v>169</v>
      </c>
    </row>
    <row r="19" spans="1:11" ht="12.75">
      <c r="A19" s="152">
        <v>2</v>
      </c>
      <c r="B19" s="51" t="s">
        <v>237</v>
      </c>
      <c r="C19" s="51" t="s">
        <v>160</v>
      </c>
      <c r="D19" s="68"/>
      <c r="E19" s="51"/>
      <c r="F19" s="65">
        <v>40000</v>
      </c>
      <c r="G19" s="231">
        <v>40275.45</v>
      </c>
      <c r="H19" s="68">
        <v>2014</v>
      </c>
      <c r="I19" s="51"/>
      <c r="J19" s="125" t="s">
        <v>3</v>
      </c>
      <c r="K19" s="116"/>
    </row>
    <row r="20" spans="1:11" ht="12.75">
      <c r="A20" s="152">
        <v>3</v>
      </c>
      <c r="B20" s="51"/>
      <c r="C20" s="51" t="s">
        <v>35</v>
      </c>
      <c r="D20" s="68"/>
      <c r="E20" s="51"/>
      <c r="F20" s="65">
        <v>20000</v>
      </c>
      <c r="G20" s="67"/>
      <c r="H20" s="68">
        <v>2014</v>
      </c>
      <c r="I20" s="51"/>
      <c r="J20" s="125" t="s">
        <v>4</v>
      </c>
      <c r="K20" s="116"/>
    </row>
    <row r="21" spans="1:11" ht="12.75">
      <c r="A21" s="152">
        <v>4</v>
      </c>
      <c r="B21" s="158" t="s">
        <v>94</v>
      </c>
      <c r="C21" s="158" t="s">
        <v>170</v>
      </c>
      <c r="D21" s="187"/>
      <c r="E21" s="158"/>
      <c r="F21" s="167"/>
      <c r="G21" s="220">
        <f>3576.4-0.53</f>
        <v>3575.87</v>
      </c>
      <c r="H21" s="233">
        <v>2014</v>
      </c>
      <c r="I21" s="51"/>
      <c r="J21" s="125" t="s">
        <v>3</v>
      </c>
      <c r="K21" s="116"/>
    </row>
    <row r="22" spans="1:11" ht="12.75">
      <c r="A22" s="152">
        <v>5</v>
      </c>
      <c r="B22" s="158"/>
      <c r="C22" s="158"/>
      <c r="D22" s="187"/>
      <c r="E22" s="158"/>
      <c r="F22" s="167"/>
      <c r="G22" s="167"/>
      <c r="H22" s="187"/>
      <c r="I22" s="158"/>
      <c r="J22" s="164"/>
      <c r="K22" s="197"/>
    </row>
    <row r="23" spans="1:11" ht="12.75">
      <c r="A23" s="152">
        <v>6</v>
      </c>
      <c r="B23" s="158"/>
      <c r="C23" s="158"/>
      <c r="D23" s="187"/>
      <c r="E23" s="158"/>
      <c r="F23" s="167"/>
      <c r="G23" s="167"/>
      <c r="H23" s="187"/>
      <c r="I23" s="158"/>
      <c r="J23" s="164"/>
      <c r="K23" s="198"/>
    </row>
    <row r="24" spans="1:11" ht="12.75">
      <c r="A24" s="152">
        <v>7</v>
      </c>
      <c r="B24" s="51"/>
      <c r="C24" s="51"/>
      <c r="D24" s="68"/>
      <c r="E24" s="51"/>
      <c r="F24" s="65"/>
      <c r="G24" s="67"/>
      <c r="H24" s="68"/>
      <c r="I24" s="51"/>
      <c r="J24" s="125"/>
      <c r="K24" s="116"/>
    </row>
    <row r="25" spans="1:11" ht="12.75">
      <c r="A25" s="152">
        <v>8</v>
      </c>
      <c r="B25" s="51"/>
      <c r="C25" s="51"/>
      <c r="D25" s="68"/>
      <c r="E25" s="51"/>
      <c r="F25" s="65"/>
      <c r="G25" s="67"/>
      <c r="H25" s="68"/>
      <c r="I25" s="51"/>
      <c r="J25" s="125"/>
      <c r="K25" s="116"/>
    </row>
    <row r="26" spans="1:11" ht="12.75">
      <c r="A26" s="152">
        <v>9</v>
      </c>
      <c r="B26" s="51"/>
      <c r="C26" s="51"/>
      <c r="D26" s="68"/>
      <c r="E26" s="51"/>
      <c r="F26" s="65"/>
      <c r="G26" s="67"/>
      <c r="H26" s="68"/>
      <c r="I26" s="51"/>
      <c r="J26" s="125"/>
      <c r="K26" s="116"/>
    </row>
    <row r="27" spans="1:11" ht="12.75">
      <c r="A27" s="152">
        <v>10</v>
      </c>
      <c r="B27" s="51"/>
      <c r="C27" s="51"/>
      <c r="D27" s="68"/>
      <c r="E27" s="51"/>
      <c r="F27" s="65"/>
      <c r="G27" s="67"/>
      <c r="H27" s="68"/>
      <c r="I27" s="51"/>
      <c r="J27" s="125"/>
      <c r="K27" s="116"/>
    </row>
    <row r="28" spans="1:11" ht="13.5" thickBot="1">
      <c r="A28" s="153">
        <v>11</v>
      </c>
      <c r="B28" s="106"/>
      <c r="C28" s="106"/>
      <c r="D28" s="118"/>
      <c r="E28" s="106"/>
      <c r="F28" s="109"/>
      <c r="G28" s="119"/>
      <c r="H28" s="118"/>
      <c r="I28" s="106"/>
      <c r="J28" s="150"/>
      <c r="K28" s="149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160000</v>
      </c>
      <c r="G30" s="44">
        <f>SUM(G18:G28)</f>
        <v>43851.32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f>F20</f>
        <v>20000</v>
      </c>
      <c r="G33" s="42">
        <f>G22+G23</f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140000</v>
      </c>
      <c r="G34" s="42">
        <f>G30-G32-G33</f>
        <v>43851.32</v>
      </c>
      <c r="H34" s="248"/>
      <c r="I34" s="249"/>
      <c r="J34" s="249"/>
      <c r="K34" s="35"/>
    </row>
    <row r="35" spans="1:11" s="14" customFormat="1" ht="13.5" customHeight="1" thickBot="1">
      <c r="A35" s="260" t="s">
        <v>93</v>
      </c>
      <c r="B35" s="261"/>
      <c r="C35" s="261"/>
      <c r="D35" s="261"/>
      <c r="E35" s="261"/>
      <c r="F35" s="46">
        <f>F16-F30</f>
        <v>-30296.600000000006</v>
      </c>
      <c r="G35" s="46">
        <f>G16-G30</f>
        <v>1116631.83</v>
      </c>
      <c r="H35" s="246"/>
      <c r="I35" s="247"/>
      <c r="J35" s="247"/>
      <c r="K35" s="55"/>
    </row>
    <row r="36" ht="12.75">
      <c r="K36" s="148"/>
    </row>
    <row r="37" ht="12.75">
      <c r="K37" s="148" t="s">
        <v>98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</sheetData>
  <sheetProtection/>
  <mergeCells count="38">
    <mergeCell ref="A35:E35"/>
    <mergeCell ref="H35:J35"/>
    <mergeCell ref="A30:E30"/>
    <mergeCell ref="H30:J30"/>
    <mergeCell ref="B31:E31"/>
    <mergeCell ref="H31:J31"/>
    <mergeCell ref="B32:E32"/>
    <mergeCell ref="H32:J32"/>
    <mergeCell ref="B34:E34"/>
    <mergeCell ref="B33:E33"/>
    <mergeCell ref="A15:E15"/>
    <mergeCell ref="H15:J15"/>
    <mergeCell ref="H33:J33"/>
    <mergeCell ref="A16:E16"/>
    <mergeCell ref="H16:J16"/>
    <mergeCell ref="H34:J34"/>
    <mergeCell ref="A14:E14"/>
    <mergeCell ref="H14:J14"/>
    <mergeCell ref="A11:E11"/>
    <mergeCell ref="A12:E12"/>
    <mergeCell ref="H12:J12"/>
    <mergeCell ref="H11:K11"/>
    <mergeCell ref="G6:G7"/>
    <mergeCell ref="H6:H7"/>
    <mergeCell ref="K6:K7"/>
    <mergeCell ref="A9:K9"/>
    <mergeCell ref="A13:E13"/>
    <mergeCell ref="H13:J13"/>
    <mergeCell ref="A3:K3"/>
    <mergeCell ref="A4:K4"/>
    <mergeCell ref="A6:A7"/>
    <mergeCell ref="B6:B7"/>
    <mergeCell ref="C6:C7"/>
    <mergeCell ref="D6:D7"/>
    <mergeCell ref="E6:E7"/>
    <mergeCell ref="F6:F7"/>
    <mergeCell ref="I6:I7"/>
    <mergeCell ref="J6:J7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8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62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27</v>
      </c>
      <c r="D10" s="17">
        <v>175</v>
      </c>
      <c r="E10" s="18" t="s">
        <v>30</v>
      </c>
      <c r="F10" s="19"/>
      <c r="G10" s="138"/>
      <c r="H10" s="11" t="s">
        <v>8</v>
      </c>
      <c r="I10" s="134">
        <f>F12/D10/12</f>
        <v>7.142857142857142</v>
      </c>
      <c r="J10" s="13" t="s">
        <v>31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12000</v>
      </c>
      <c r="G11" s="44">
        <v>28238.98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15000</f>
        <v>15000</v>
      </c>
      <c r="G12" s="41">
        <v>22632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83</v>
      </c>
      <c r="B14" s="273"/>
      <c r="C14" s="273"/>
      <c r="D14" s="273"/>
      <c r="E14" s="273"/>
      <c r="F14" s="41">
        <v>7632</v>
      </c>
      <c r="G14" s="41">
        <v>0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0</v>
      </c>
      <c r="H15" s="250"/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34632</v>
      </c>
      <c r="G16" s="45">
        <f>G11+G12+G13+G14+G15</f>
        <v>50870.979999999996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4.25" customHeight="1">
      <c r="A18" s="87">
        <v>1</v>
      </c>
      <c r="B18" s="99" t="s">
        <v>22</v>
      </c>
      <c r="C18" s="99" t="s">
        <v>20</v>
      </c>
      <c r="D18" s="89"/>
      <c r="E18" s="90"/>
      <c r="F18" s="101">
        <v>10000</v>
      </c>
      <c r="G18" s="91"/>
      <c r="H18" s="89">
        <v>2014</v>
      </c>
      <c r="I18" s="90"/>
      <c r="J18" s="102" t="s">
        <v>3</v>
      </c>
      <c r="K18" s="103"/>
    </row>
    <row r="19" spans="1:11" ht="14.25" customHeight="1">
      <c r="A19" s="28">
        <v>2</v>
      </c>
      <c r="B19" s="27"/>
      <c r="C19" s="27"/>
      <c r="D19" s="25"/>
      <c r="E19" s="2"/>
      <c r="F19" s="26"/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10000</v>
      </c>
      <c r="G30" s="44">
        <f>SUM(G18:G28)</f>
        <v>0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v>0</v>
      </c>
      <c r="G33" s="42"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10000</v>
      </c>
      <c r="G34" s="42">
        <f>G30-G32-G33</f>
        <v>0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24632</v>
      </c>
      <c r="G35" s="46">
        <f>G16-G30</f>
        <v>50870.979999999996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116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35:E35"/>
    <mergeCell ref="H35:J35"/>
    <mergeCell ref="B33:E33"/>
    <mergeCell ref="H33:J33"/>
    <mergeCell ref="B34:E34"/>
    <mergeCell ref="H34:J34"/>
    <mergeCell ref="B31:E31"/>
    <mergeCell ref="H31:J31"/>
    <mergeCell ref="B32:E32"/>
    <mergeCell ref="H32:J32"/>
    <mergeCell ref="A16:E16"/>
    <mergeCell ref="H16:J16"/>
    <mergeCell ref="A30:E30"/>
    <mergeCell ref="H30:J30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B18" sqref="B18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 t="s">
        <v>93</v>
      </c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82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27</v>
      </c>
      <c r="D10" s="17">
        <v>160</v>
      </c>
      <c r="E10" s="18" t="s">
        <v>30</v>
      </c>
      <c r="F10" s="19"/>
      <c r="G10" s="138"/>
      <c r="H10" s="11" t="s">
        <v>8</v>
      </c>
      <c r="I10" s="134">
        <f>F12/D10/12</f>
        <v>7.8125</v>
      </c>
      <c r="J10" s="13" t="s">
        <v>31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25000</v>
      </c>
      <c r="G11" s="44">
        <v>42789.78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15000</f>
        <v>15000</v>
      </c>
      <c r="G12" s="41">
        <v>22632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83</v>
      </c>
      <c r="B14" s="273"/>
      <c r="C14" s="273"/>
      <c r="D14" s="273"/>
      <c r="E14" s="273"/>
      <c r="F14" s="41">
        <v>7680</v>
      </c>
      <c r="G14" s="41">
        <v>0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0</v>
      </c>
      <c r="H15" s="250"/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47680</v>
      </c>
      <c r="G16" s="45">
        <f>G11+G12+G13+G14+G15</f>
        <v>65421.78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4.25" customHeight="1">
      <c r="A18" s="87">
        <v>1</v>
      </c>
      <c r="B18" s="99" t="s">
        <v>19</v>
      </c>
      <c r="C18" s="99" t="s">
        <v>20</v>
      </c>
      <c r="D18" s="89"/>
      <c r="E18" s="90"/>
      <c r="F18" s="101">
        <v>10000</v>
      </c>
      <c r="G18" s="91"/>
      <c r="H18" s="89">
        <v>2014</v>
      </c>
      <c r="I18" s="90"/>
      <c r="J18" s="102" t="s">
        <v>3</v>
      </c>
      <c r="K18" s="103"/>
    </row>
    <row r="19" spans="1:11" ht="14.25" customHeight="1">
      <c r="A19" s="28">
        <v>2</v>
      </c>
      <c r="B19" s="27"/>
      <c r="C19" s="27"/>
      <c r="D19" s="25"/>
      <c r="E19" s="2"/>
      <c r="F19" s="26"/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10000</v>
      </c>
      <c r="G30" s="44">
        <f>SUM(G18:G28)</f>
        <v>0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v>0</v>
      </c>
      <c r="G33" s="42"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10000</v>
      </c>
      <c r="G34" s="42">
        <f>G30-G32-G33</f>
        <v>0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37680</v>
      </c>
      <c r="G35" s="46">
        <f>G16-G30</f>
        <v>65421.78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117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9:K9"/>
    <mergeCell ref="A11:E11"/>
    <mergeCell ref="H11:J11"/>
    <mergeCell ref="A12:E12"/>
    <mergeCell ref="H12:J12"/>
    <mergeCell ref="A13:E13"/>
    <mergeCell ref="H13:J13"/>
    <mergeCell ref="A14:E14"/>
    <mergeCell ref="H14:J14"/>
    <mergeCell ref="A15:E15"/>
    <mergeCell ref="H15:J15"/>
    <mergeCell ref="A16:E16"/>
    <mergeCell ref="H16:J16"/>
    <mergeCell ref="A30:E30"/>
    <mergeCell ref="H30:J30"/>
    <mergeCell ref="B34:E34"/>
    <mergeCell ref="H34:J34"/>
    <mergeCell ref="A35:E35"/>
    <mergeCell ref="H35:J35"/>
    <mergeCell ref="B31:E31"/>
    <mergeCell ref="H31:J31"/>
    <mergeCell ref="B32:E32"/>
    <mergeCell ref="H32:J32"/>
    <mergeCell ref="B33:E33"/>
    <mergeCell ref="H33:J33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6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49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17</v>
      </c>
      <c r="D10" s="17">
        <v>28443.63</v>
      </c>
      <c r="E10" s="18" t="s">
        <v>6</v>
      </c>
      <c r="F10" s="19"/>
      <c r="G10" s="138"/>
      <c r="H10" s="11" t="s">
        <v>8</v>
      </c>
      <c r="I10" s="12">
        <v>1.3</v>
      </c>
      <c r="J10" s="13" t="s">
        <v>7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40000</v>
      </c>
      <c r="G11" s="44">
        <v>-21466.61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D10*I10*12</f>
        <v>443720.628</v>
      </c>
      <c r="G12" s="41">
        <f>42963.96+83277.51+112402.66+83804.76+61113.42+60158.67</f>
        <v>443720.98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/>
      <c r="H13" s="250"/>
      <c r="I13" s="271"/>
      <c r="J13" s="271"/>
      <c r="K13" s="54"/>
    </row>
    <row r="14" spans="1:11" s="40" customFormat="1" ht="12.75" customHeight="1">
      <c r="A14" s="272" t="s">
        <v>47</v>
      </c>
      <c r="B14" s="273"/>
      <c r="C14" s="273"/>
      <c r="D14" s="273"/>
      <c r="E14" s="273"/>
      <c r="F14" s="41">
        <v>0</v>
      </c>
      <c r="G14" s="41">
        <f>(547.07*6)+2921.06</f>
        <v>6203.48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79341.91</v>
      </c>
      <c r="H15" s="250" t="s">
        <v>230</v>
      </c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483720.628</v>
      </c>
      <c r="G16" s="45">
        <f>G11+G12+G13+G14+G15</f>
        <v>507799.76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87">
        <v>1</v>
      </c>
      <c r="B18" s="70" t="s">
        <v>32</v>
      </c>
      <c r="C18" s="70" t="s">
        <v>186</v>
      </c>
      <c r="D18" s="71" t="s">
        <v>193</v>
      </c>
      <c r="E18" s="70"/>
      <c r="F18" s="72">
        <v>250000</v>
      </c>
      <c r="G18" s="223">
        <v>29255.55</v>
      </c>
      <c r="H18" s="90">
        <v>2014</v>
      </c>
      <c r="I18" s="90"/>
      <c r="J18" s="89" t="s">
        <v>3</v>
      </c>
      <c r="K18" s="143"/>
    </row>
    <row r="19" spans="1:11" ht="12.75">
      <c r="A19" s="28">
        <v>2</v>
      </c>
      <c r="B19" s="139" t="s">
        <v>28</v>
      </c>
      <c r="C19" s="52" t="s">
        <v>185</v>
      </c>
      <c r="D19" s="83" t="s">
        <v>192</v>
      </c>
      <c r="E19" s="140"/>
      <c r="F19" s="141">
        <v>220000</v>
      </c>
      <c r="G19" s="222">
        <f>329713.91-7586.88</f>
        <v>322127.02999999997</v>
      </c>
      <c r="H19" s="84">
        <v>2014</v>
      </c>
      <c r="I19" s="140"/>
      <c r="J19" s="83" t="s">
        <v>3</v>
      </c>
      <c r="K19" s="85"/>
    </row>
    <row r="20" spans="1:11" ht="12.75">
      <c r="A20" s="28">
        <v>3</v>
      </c>
      <c r="B20" s="50" t="s">
        <v>46</v>
      </c>
      <c r="C20" s="22" t="s">
        <v>135</v>
      </c>
      <c r="D20" s="2" t="s">
        <v>140</v>
      </c>
      <c r="E20" s="2"/>
      <c r="F20" s="3">
        <f>650*25</f>
        <v>16250</v>
      </c>
      <c r="G20" s="199">
        <v>9163.01</v>
      </c>
      <c r="H20" s="2">
        <v>2014</v>
      </c>
      <c r="I20" s="2"/>
      <c r="J20" s="2" t="s">
        <v>3</v>
      </c>
      <c r="K20" s="24"/>
    </row>
    <row r="21" spans="1:11" ht="12.75">
      <c r="A21" s="28">
        <v>4</v>
      </c>
      <c r="B21" s="50"/>
      <c r="C21" s="22" t="s">
        <v>20</v>
      </c>
      <c r="D21" s="34"/>
      <c r="E21" s="4"/>
      <c r="F21" s="64">
        <v>30000</v>
      </c>
      <c r="G21" s="200"/>
      <c r="H21" s="4">
        <v>2014</v>
      </c>
      <c r="I21" s="4"/>
      <c r="J21" s="25" t="s">
        <v>4</v>
      </c>
      <c r="K21" s="66"/>
    </row>
    <row r="22" spans="1:11" ht="12.75">
      <c r="A22" s="28">
        <v>5</v>
      </c>
      <c r="B22" s="160" t="s">
        <v>215</v>
      </c>
      <c r="C22" s="165" t="s">
        <v>187</v>
      </c>
      <c r="D22" s="161"/>
      <c r="E22" s="162"/>
      <c r="F22" s="163"/>
      <c r="G22" s="219">
        <f>7549.57</f>
        <v>7549.57</v>
      </c>
      <c r="H22" s="95">
        <v>2014</v>
      </c>
      <c r="I22" s="162"/>
      <c r="J22" s="166" t="s">
        <v>3</v>
      </c>
      <c r="K22" s="189"/>
    </row>
    <row r="23" spans="1:11" ht="12.75">
      <c r="A23" s="28">
        <v>6</v>
      </c>
      <c r="B23" s="160" t="s">
        <v>28</v>
      </c>
      <c r="C23" s="158" t="s">
        <v>231</v>
      </c>
      <c r="D23" s="161"/>
      <c r="E23" s="162"/>
      <c r="F23" s="163"/>
      <c r="G23" s="219">
        <v>7586.88</v>
      </c>
      <c r="H23" s="95">
        <v>2014</v>
      </c>
      <c r="I23" s="162"/>
      <c r="J23" s="161" t="s">
        <v>4</v>
      </c>
      <c r="K23" s="190"/>
    </row>
    <row r="24" spans="1:11" s="132" customFormat="1" ht="12.75">
      <c r="A24" s="133">
        <v>7</v>
      </c>
      <c r="B24" s="164" t="s">
        <v>46</v>
      </c>
      <c r="C24" s="165" t="s">
        <v>164</v>
      </c>
      <c r="D24" s="161" t="s">
        <v>190</v>
      </c>
      <c r="E24" s="162"/>
      <c r="F24" s="163"/>
      <c r="G24" s="219">
        <v>35994.72</v>
      </c>
      <c r="H24" s="95">
        <v>2014</v>
      </c>
      <c r="I24" s="162"/>
      <c r="J24" s="161" t="s">
        <v>3</v>
      </c>
      <c r="K24" s="191" t="s">
        <v>166</v>
      </c>
    </row>
    <row r="25" spans="1:11" s="132" customFormat="1" ht="12.75">
      <c r="A25" s="131">
        <v>8</v>
      </c>
      <c r="B25" s="164" t="s">
        <v>217</v>
      </c>
      <c r="C25" s="165" t="s">
        <v>216</v>
      </c>
      <c r="D25" s="166"/>
      <c r="E25" s="95"/>
      <c r="F25" s="167" t="s">
        <v>93</v>
      </c>
      <c r="G25" s="220">
        <f>1771.21+2970.01+1048+450+5564.2</f>
        <v>11803.42</v>
      </c>
      <c r="H25" s="95">
        <v>2014</v>
      </c>
      <c r="I25" s="187"/>
      <c r="J25" s="161" t="s">
        <v>3</v>
      </c>
      <c r="K25" s="191"/>
    </row>
    <row r="26" spans="1:11" s="132" customFormat="1" ht="12.75">
      <c r="A26" s="131">
        <v>9</v>
      </c>
      <c r="B26" s="164" t="s">
        <v>208</v>
      </c>
      <c r="C26" s="158" t="s">
        <v>165</v>
      </c>
      <c r="D26" s="168"/>
      <c r="E26" s="168"/>
      <c r="F26" s="167"/>
      <c r="G26" s="218">
        <f>2131.92+307.5+7983.81+7152.97+4597.56</f>
        <v>22173.760000000002</v>
      </c>
      <c r="H26" s="95">
        <v>2014</v>
      </c>
      <c r="I26" s="187"/>
      <c r="J26" s="166" t="s">
        <v>3</v>
      </c>
      <c r="K26" s="191"/>
    </row>
    <row r="27" spans="1:11" ht="12.75">
      <c r="A27" s="28">
        <v>10</v>
      </c>
      <c r="B27" s="169" t="s">
        <v>184</v>
      </c>
      <c r="C27" s="158" t="s">
        <v>183</v>
      </c>
      <c r="D27" s="168" t="s">
        <v>191</v>
      </c>
      <c r="E27" s="168"/>
      <c r="F27" s="167"/>
      <c r="G27" s="218">
        <f>10735.2+10735.2</f>
        <v>21470.4</v>
      </c>
      <c r="H27" s="95">
        <v>2014</v>
      </c>
      <c r="I27" s="192"/>
      <c r="J27" s="193" t="s">
        <v>3</v>
      </c>
      <c r="K27" s="191" t="s">
        <v>238</v>
      </c>
    </row>
    <row r="28" spans="1:11" ht="13.5" thickBot="1">
      <c r="A28" s="104">
        <v>11</v>
      </c>
      <c r="B28" s="170" t="s">
        <v>28</v>
      </c>
      <c r="C28" s="171" t="s">
        <v>188</v>
      </c>
      <c r="D28" s="172" t="s">
        <v>189</v>
      </c>
      <c r="E28" s="173"/>
      <c r="F28" s="174"/>
      <c r="G28" s="221">
        <f>8938</f>
        <v>8938</v>
      </c>
      <c r="H28" s="173">
        <v>2014</v>
      </c>
      <c r="I28" s="173"/>
      <c r="J28" s="172" t="s">
        <v>3</v>
      </c>
      <c r="K28" s="235" t="s">
        <v>239</v>
      </c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516250</v>
      </c>
      <c r="G30" s="44">
        <f>SUM(G18:G28)</f>
        <v>476062.34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f>F21</f>
        <v>30000</v>
      </c>
      <c r="G33" s="42">
        <f>G23</f>
        <v>7586.88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486250</v>
      </c>
      <c r="G34" s="42">
        <f>G30-G32-G33</f>
        <v>468475.46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-32529.371999999974</v>
      </c>
      <c r="G35" s="46">
        <f>G16-G30</f>
        <v>31737.419999999984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99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H6:H7"/>
    <mergeCell ref="A12:E12"/>
    <mergeCell ref="E6:E7"/>
    <mergeCell ref="A35:E35"/>
    <mergeCell ref="H35:J35"/>
    <mergeCell ref="A14:E14"/>
    <mergeCell ref="H14:J14"/>
    <mergeCell ref="H34:J34"/>
    <mergeCell ref="B33:E33"/>
    <mergeCell ref="B34:E34"/>
    <mergeCell ref="B31:E31"/>
    <mergeCell ref="H31:J31"/>
    <mergeCell ref="H16:J16"/>
    <mergeCell ref="B32:E32"/>
    <mergeCell ref="H30:J30"/>
    <mergeCell ref="A16:E16"/>
    <mergeCell ref="H32:J32"/>
    <mergeCell ref="A30:E30"/>
    <mergeCell ref="H12:J12"/>
    <mergeCell ref="A15:E15"/>
    <mergeCell ref="G6:G7"/>
    <mergeCell ref="D6:D7"/>
    <mergeCell ref="A13:E13"/>
    <mergeCell ref="F6:F7"/>
    <mergeCell ref="A6:A7"/>
    <mergeCell ref="A11:E11"/>
    <mergeCell ref="H15:J15"/>
    <mergeCell ref="H11:J11"/>
    <mergeCell ref="H33:J33"/>
    <mergeCell ref="K6:K7"/>
    <mergeCell ref="H13:J13"/>
    <mergeCell ref="I6:I7"/>
    <mergeCell ref="A3:K3"/>
    <mergeCell ref="A4:K4"/>
    <mergeCell ref="A9:K9"/>
    <mergeCell ref="B6:B7"/>
    <mergeCell ref="C6:C7"/>
    <mergeCell ref="J6:J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1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50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17</v>
      </c>
      <c r="D10" s="17">
        <v>8881.03</v>
      </c>
      <c r="E10" s="18" t="s">
        <v>6</v>
      </c>
      <c r="F10" s="19"/>
      <c r="G10" s="138"/>
      <c r="H10" s="11" t="s">
        <v>8</v>
      </c>
      <c r="I10" s="12">
        <v>1.2</v>
      </c>
      <c r="J10" s="13" t="s">
        <v>7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60000</v>
      </c>
      <c r="G11" s="44">
        <v>44251.89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D10*I10*12</f>
        <v>127886.83200000001</v>
      </c>
      <c r="G12" s="41">
        <f>27823.96+48669.12+51393.75</f>
        <v>127886.83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42</v>
      </c>
      <c r="B14" s="273"/>
      <c r="C14" s="273"/>
      <c r="D14" s="273"/>
      <c r="E14" s="273"/>
      <c r="F14" s="41">
        <v>0</v>
      </c>
      <c r="G14" s="41">
        <f>341.63+341.63+341.63</f>
        <v>1024.8899999999999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24753.15</v>
      </c>
      <c r="H15" s="250" t="s">
        <v>230</v>
      </c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187886.832</v>
      </c>
      <c r="G16" s="45">
        <f>G11+G12+G13+G14+G15</f>
        <v>197916.76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120">
        <v>1</v>
      </c>
      <c r="B18" s="97" t="s">
        <v>119</v>
      </c>
      <c r="C18" s="70" t="s">
        <v>121</v>
      </c>
      <c r="D18" s="89"/>
      <c r="E18" s="92"/>
      <c r="F18" s="98">
        <v>30000</v>
      </c>
      <c r="G18" s="98">
        <v>0</v>
      </c>
      <c r="H18" s="92"/>
      <c r="I18" s="92"/>
      <c r="J18" s="89" t="s">
        <v>3</v>
      </c>
      <c r="K18" s="196" t="s">
        <v>169</v>
      </c>
    </row>
    <row r="19" spans="1:11" ht="12.75">
      <c r="A19" s="29">
        <v>2</v>
      </c>
      <c r="B19" s="22" t="s">
        <v>143</v>
      </c>
      <c r="C19" s="22" t="s">
        <v>120</v>
      </c>
      <c r="D19" s="2" t="s">
        <v>190</v>
      </c>
      <c r="E19" s="2"/>
      <c r="F19" s="3">
        <v>40000</v>
      </c>
      <c r="G19" s="200">
        <v>42020.49</v>
      </c>
      <c r="H19" s="4">
        <v>2014</v>
      </c>
      <c r="I19" s="4"/>
      <c r="J19" s="25" t="s">
        <v>3</v>
      </c>
      <c r="K19" s="32"/>
    </row>
    <row r="20" spans="1:11" ht="12.75">
      <c r="A20" s="29">
        <v>3</v>
      </c>
      <c r="B20" s="30" t="s">
        <v>127</v>
      </c>
      <c r="C20" s="22" t="s">
        <v>124</v>
      </c>
      <c r="D20" s="4" t="s">
        <v>126</v>
      </c>
      <c r="E20" s="4"/>
      <c r="F20" s="31">
        <f>75*430</f>
        <v>32250</v>
      </c>
      <c r="G20" s="200">
        <f>5280.66+9464.04+14058.9</f>
        <v>28803.6</v>
      </c>
      <c r="H20" s="4">
        <v>2014</v>
      </c>
      <c r="I20" s="4"/>
      <c r="J20" s="34" t="s">
        <v>3</v>
      </c>
      <c r="K20" s="33"/>
    </row>
    <row r="21" spans="1:11" ht="12.75">
      <c r="A21" s="28">
        <v>4</v>
      </c>
      <c r="B21" s="50" t="s">
        <v>134</v>
      </c>
      <c r="C21" s="22" t="s">
        <v>133</v>
      </c>
      <c r="D21" s="4" t="s">
        <v>136</v>
      </c>
      <c r="E21" s="4"/>
      <c r="F21" s="31">
        <f>2160*25</f>
        <v>54000</v>
      </c>
      <c r="G21" s="200">
        <f>6858.66+10176.05+10650.65</f>
        <v>27685.36</v>
      </c>
      <c r="H21" s="4">
        <v>2014</v>
      </c>
      <c r="I21" s="4"/>
      <c r="J21" s="34" t="s">
        <v>3</v>
      </c>
      <c r="K21" s="24"/>
    </row>
    <row r="22" spans="1:11" ht="12.75">
      <c r="A22" s="28">
        <v>5</v>
      </c>
      <c r="B22" s="50"/>
      <c r="C22" s="22" t="s">
        <v>20</v>
      </c>
      <c r="D22" s="4"/>
      <c r="E22" s="4"/>
      <c r="F22" s="31">
        <v>30000</v>
      </c>
      <c r="G22" s="200"/>
      <c r="H22" s="4">
        <v>2014</v>
      </c>
      <c r="I22" s="4"/>
      <c r="J22" s="34" t="s">
        <v>4</v>
      </c>
      <c r="K22" s="66"/>
    </row>
    <row r="23" spans="1:11" ht="12.75">
      <c r="A23" s="28">
        <v>6</v>
      </c>
      <c r="B23" s="183" t="s">
        <v>134</v>
      </c>
      <c r="C23" s="165" t="s">
        <v>167</v>
      </c>
      <c r="D23" s="95"/>
      <c r="E23" s="95"/>
      <c r="F23" s="175"/>
      <c r="G23" s="224">
        <f>1446+1446+3310</f>
        <v>6202</v>
      </c>
      <c r="H23" s="95">
        <v>2014</v>
      </c>
      <c r="I23" s="95"/>
      <c r="J23" s="166" t="s">
        <v>3</v>
      </c>
      <c r="K23" s="24"/>
    </row>
    <row r="24" spans="1:11" ht="12.75">
      <c r="A24" s="82">
        <v>7</v>
      </c>
      <c r="B24" s="183" t="s">
        <v>196</v>
      </c>
      <c r="C24" s="176" t="s">
        <v>168</v>
      </c>
      <c r="D24" s="178"/>
      <c r="E24" s="179"/>
      <c r="F24" s="180"/>
      <c r="G24" s="225">
        <v>1845</v>
      </c>
      <c r="H24" s="179">
        <v>2014</v>
      </c>
      <c r="I24" s="179"/>
      <c r="J24" s="166" t="s">
        <v>3</v>
      </c>
      <c r="K24" s="85"/>
    </row>
    <row r="25" spans="1:11" ht="12.75">
      <c r="A25" s="28">
        <v>8</v>
      </c>
      <c r="B25" s="160" t="s">
        <v>194</v>
      </c>
      <c r="C25" s="182" t="s">
        <v>188</v>
      </c>
      <c r="D25" s="161" t="s">
        <v>195</v>
      </c>
      <c r="E25" s="162"/>
      <c r="F25" s="163"/>
      <c r="G25" s="219">
        <v>17876</v>
      </c>
      <c r="H25" s="162">
        <v>2014</v>
      </c>
      <c r="I25" s="162"/>
      <c r="J25" s="166" t="s">
        <v>3</v>
      </c>
      <c r="K25" s="202" t="s">
        <v>239</v>
      </c>
    </row>
    <row r="26" spans="1:11" ht="12.75">
      <c r="A26" s="28">
        <v>9</v>
      </c>
      <c r="B26" s="160" t="s">
        <v>218</v>
      </c>
      <c r="C26" s="182" t="s">
        <v>219</v>
      </c>
      <c r="D26" s="161"/>
      <c r="E26" s="162"/>
      <c r="F26" s="163"/>
      <c r="G26" s="219">
        <v>9828</v>
      </c>
      <c r="H26" s="162">
        <v>2014</v>
      </c>
      <c r="I26" s="162"/>
      <c r="J26" s="161" t="s">
        <v>3</v>
      </c>
      <c r="K26" s="24"/>
    </row>
    <row r="27" spans="1:11" ht="12.75">
      <c r="A27" s="28">
        <v>10</v>
      </c>
      <c r="B27" s="183"/>
      <c r="C27" s="158"/>
      <c r="D27" s="166"/>
      <c r="E27" s="95"/>
      <c r="F27" s="167"/>
      <c r="G27" s="175"/>
      <c r="H27" s="95"/>
      <c r="I27" s="95"/>
      <c r="J27" s="166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94"/>
      <c r="I28" s="194"/>
      <c r="J28" s="195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186250</v>
      </c>
      <c r="G30" s="44">
        <f>SUM(G18:G28)</f>
        <v>134260.45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f>F22</f>
        <v>30000</v>
      </c>
      <c r="G33" s="42"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156250</v>
      </c>
      <c r="G34" s="42">
        <f>G30-G32-G33</f>
        <v>134260.45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1636.8319999999949</v>
      </c>
      <c r="G35" s="46">
        <f>G16-G30</f>
        <v>63656.31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100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B31:E31"/>
    <mergeCell ref="H31:J31"/>
    <mergeCell ref="H34:J34"/>
    <mergeCell ref="A35:E35"/>
    <mergeCell ref="H35:J35"/>
    <mergeCell ref="B33:E33"/>
    <mergeCell ref="H33:J33"/>
    <mergeCell ref="B34:E34"/>
    <mergeCell ref="B32:E32"/>
    <mergeCell ref="H32:J32"/>
    <mergeCell ref="A3:K3"/>
    <mergeCell ref="A4:K4"/>
    <mergeCell ref="A6:A7"/>
    <mergeCell ref="B6:B7"/>
    <mergeCell ref="C6:C7"/>
    <mergeCell ref="D6:D7"/>
    <mergeCell ref="E6:E7"/>
    <mergeCell ref="F6:F7"/>
    <mergeCell ref="I6:I7"/>
    <mergeCell ref="H6:H7"/>
    <mergeCell ref="A13:E13"/>
    <mergeCell ref="A30:E30"/>
    <mergeCell ref="A15:E15"/>
    <mergeCell ref="H15:J15"/>
    <mergeCell ref="A16:E16"/>
    <mergeCell ref="H16:J16"/>
    <mergeCell ref="H30:J30"/>
    <mergeCell ref="H13:J13"/>
    <mergeCell ref="K6:K7"/>
    <mergeCell ref="A9:K9"/>
    <mergeCell ref="A14:E14"/>
    <mergeCell ref="H14:J14"/>
    <mergeCell ref="G6:G7"/>
    <mergeCell ref="J6:J7"/>
    <mergeCell ref="A11:E11"/>
    <mergeCell ref="H11:J11"/>
    <mergeCell ref="A12:E12"/>
    <mergeCell ref="H12:J12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9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51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17</v>
      </c>
      <c r="D10" s="17">
        <v>5359.66</v>
      </c>
      <c r="E10" s="18" t="s">
        <v>6</v>
      </c>
      <c r="F10" s="19"/>
      <c r="G10" s="138"/>
      <c r="H10" s="11" t="s">
        <v>8</v>
      </c>
      <c r="I10" s="12">
        <v>1.4</v>
      </c>
      <c r="J10" s="13" t="s">
        <v>7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20000</v>
      </c>
      <c r="G11" s="44">
        <v>42196.68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D10*I10*12</f>
        <v>90042.288</v>
      </c>
      <c r="G12" s="41">
        <v>90043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42</v>
      </c>
      <c r="B14" s="273"/>
      <c r="C14" s="273"/>
      <c r="D14" s="273"/>
      <c r="E14" s="273"/>
      <c r="F14" s="41">
        <v>0</v>
      </c>
      <c r="G14" s="41">
        <v>0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14938.44</v>
      </c>
      <c r="H15" s="250" t="s">
        <v>230</v>
      </c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110042.288</v>
      </c>
      <c r="G16" s="45">
        <f>G11+G12+G13+G14+G15</f>
        <v>147178.12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96">
        <v>1</v>
      </c>
      <c r="B18" s="88" t="s">
        <v>18</v>
      </c>
      <c r="C18" s="97" t="s">
        <v>135</v>
      </c>
      <c r="D18" s="92" t="s">
        <v>140</v>
      </c>
      <c r="E18" s="92"/>
      <c r="F18" s="98">
        <f>650*25</f>
        <v>16250</v>
      </c>
      <c r="G18" s="226">
        <v>6373.01</v>
      </c>
      <c r="H18" s="92">
        <v>2014</v>
      </c>
      <c r="I18" s="92"/>
      <c r="J18" s="90" t="s">
        <v>3</v>
      </c>
      <c r="K18" s="93"/>
    </row>
    <row r="19" spans="1:11" ht="12.75">
      <c r="A19" s="29">
        <v>2</v>
      </c>
      <c r="B19" s="22" t="s">
        <v>18</v>
      </c>
      <c r="C19" s="22" t="s">
        <v>161</v>
      </c>
      <c r="D19" s="2"/>
      <c r="E19" s="2"/>
      <c r="F19" s="3">
        <v>20000</v>
      </c>
      <c r="G19" s="31">
        <v>0</v>
      </c>
      <c r="H19" s="4">
        <v>2014</v>
      </c>
      <c r="I19" s="4"/>
      <c r="J19" s="4" t="s">
        <v>3</v>
      </c>
      <c r="K19" s="184" t="s">
        <v>169</v>
      </c>
    </row>
    <row r="20" spans="1:11" ht="12.75">
      <c r="A20" s="29">
        <v>3</v>
      </c>
      <c r="B20" s="30"/>
      <c r="C20" s="22" t="s">
        <v>20</v>
      </c>
      <c r="D20" s="2"/>
      <c r="E20" s="2"/>
      <c r="F20" s="3">
        <v>30000</v>
      </c>
      <c r="G20" s="31"/>
      <c r="H20" s="4">
        <v>2014</v>
      </c>
      <c r="I20" s="4"/>
      <c r="J20" s="4" t="s">
        <v>4</v>
      </c>
      <c r="K20" s="32"/>
    </row>
    <row r="21" spans="1:11" ht="12.75">
      <c r="A21" s="28">
        <v>4</v>
      </c>
      <c r="B21" s="165" t="s">
        <v>18</v>
      </c>
      <c r="C21" s="185" t="s">
        <v>170</v>
      </c>
      <c r="D21" s="162"/>
      <c r="E21" s="162"/>
      <c r="F21" s="159"/>
      <c r="G21" s="219">
        <f>651.78+307.5</f>
        <v>959.28</v>
      </c>
      <c r="H21" s="234">
        <v>2014</v>
      </c>
      <c r="I21" s="4"/>
      <c r="J21" s="34" t="s">
        <v>3</v>
      </c>
      <c r="K21" s="24"/>
    </row>
    <row r="22" spans="1:11" ht="12.75">
      <c r="A22" s="28">
        <v>5</v>
      </c>
      <c r="B22" s="160"/>
      <c r="C22" s="182"/>
      <c r="D22" s="161"/>
      <c r="E22" s="162"/>
      <c r="F22" s="163"/>
      <c r="G22" s="159"/>
      <c r="H22" s="4"/>
      <c r="I22" s="4"/>
      <c r="J22" s="34"/>
      <c r="K22" s="66"/>
    </row>
    <row r="23" spans="1:11" ht="12.75">
      <c r="A23" s="28">
        <v>6</v>
      </c>
      <c r="B23" s="183"/>
      <c r="C23" s="165"/>
      <c r="D23" s="166"/>
      <c r="E23" s="95"/>
      <c r="F23" s="167"/>
      <c r="G23" s="175"/>
      <c r="H23" s="2"/>
      <c r="I23" s="2"/>
      <c r="J23" s="25"/>
      <c r="K23" s="24"/>
    </row>
    <row r="24" spans="1:11" ht="12.75">
      <c r="A24" s="82">
        <v>7</v>
      </c>
      <c r="B24" s="176"/>
      <c r="C24" s="177"/>
      <c r="D24" s="178"/>
      <c r="E24" s="179"/>
      <c r="F24" s="180"/>
      <c r="G24" s="181"/>
      <c r="H24" s="84"/>
      <c r="I24" s="84"/>
      <c r="J24" s="83"/>
      <c r="K24" s="85"/>
    </row>
    <row r="25" spans="1:11" ht="12.75">
      <c r="A25" s="28">
        <v>8</v>
      </c>
      <c r="B25" s="160"/>
      <c r="C25" s="182"/>
      <c r="D25" s="161"/>
      <c r="E25" s="162"/>
      <c r="F25" s="163"/>
      <c r="G25" s="159"/>
      <c r="H25" s="4"/>
      <c r="I25" s="4"/>
      <c r="J25" s="25"/>
      <c r="K25" s="24"/>
    </row>
    <row r="26" spans="1:11" ht="12.75">
      <c r="A26" s="28">
        <v>9</v>
      </c>
      <c r="B26" s="160"/>
      <c r="C26" s="182"/>
      <c r="D26" s="161"/>
      <c r="E26" s="162"/>
      <c r="F26" s="163"/>
      <c r="G26" s="159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66250</v>
      </c>
      <c r="G30" s="44">
        <f>SUM(G18:G28)</f>
        <v>7332.29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f>F19</f>
        <v>20000</v>
      </c>
      <c r="G33" s="42">
        <f>G19</f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46250</v>
      </c>
      <c r="G34" s="42">
        <f>G30-G32-G33</f>
        <v>7332.29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43792.288</v>
      </c>
      <c r="G35" s="46">
        <f>G16-G30</f>
        <v>139845.83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101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11:E11"/>
    <mergeCell ref="H11:J11"/>
    <mergeCell ref="A3:K3"/>
    <mergeCell ref="A4:K4"/>
    <mergeCell ref="A6:A7"/>
    <mergeCell ref="B6:B7"/>
    <mergeCell ref="C6:C7"/>
    <mergeCell ref="D6:D7"/>
    <mergeCell ref="E6:E7"/>
    <mergeCell ref="F6:F7"/>
    <mergeCell ref="I6:I7"/>
    <mergeCell ref="J6:J7"/>
    <mergeCell ref="K6:K7"/>
    <mergeCell ref="A9:K9"/>
    <mergeCell ref="G6:G7"/>
    <mergeCell ref="H6:H7"/>
    <mergeCell ref="A14:E14"/>
    <mergeCell ref="H14:J14"/>
    <mergeCell ref="A15:E15"/>
    <mergeCell ref="H15:J15"/>
    <mergeCell ref="A12:E12"/>
    <mergeCell ref="H12:J12"/>
    <mergeCell ref="A13:E13"/>
    <mergeCell ref="H13:J13"/>
    <mergeCell ref="B32:E32"/>
    <mergeCell ref="H32:J32"/>
    <mergeCell ref="A16:E16"/>
    <mergeCell ref="H16:J16"/>
    <mergeCell ref="A30:E30"/>
    <mergeCell ref="H30:J30"/>
    <mergeCell ref="B31:E31"/>
    <mergeCell ref="H31:J31"/>
    <mergeCell ref="B33:E33"/>
    <mergeCell ref="H33:J33"/>
    <mergeCell ref="B34:E34"/>
    <mergeCell ref="H34:J34"/>
    <mergeCell ref="A35:E35"/>
    <mergeCell ref="H35:J35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9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52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17</v>
      </c>
      <c r="D10" s="17">
        <v>18895.4</v>
      </c>
      <c r="E10" s="18" t="s">
        <v>6</v>
      </c>
      <c r="F10" s="19"/>
      <c r="G10" s="138"/>
      <c r="H10" s="11" t="s">
        <v>8</v>
      </c>
      <c r="I10" s="12">
        <v>1.4</v>
      </c>
      <c r="J10" s="13" t="s">
        <v>7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-136345</v>
      </c>
      <c r="G11" s="44">
        <v>107815.5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D10*I10*12</f>
        <v>317442.72000000003</v>
      </c>
      <c r="G12" s="41">
        <f>97272+73120.32+73365.6+73684.08</f>
        <v>317442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42</v>
      </c>
      <c r="B14" s="273"/>
      <c r="C14" s="273"/>
      <c r="D14" s="273"/>
      <c r="E14" s="273"/>
      <c r="F14" s="41">
        <v>0</v>
      </c>
      <c r="G14" s="41">
        <f>544.46*4</f>
        <v>2177.84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52665.26</v>
      </c>
      <c r="H15" s="250" t="s">
        <v>230</v>
      </c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181097.72000000003</v>
      </c>
      <c r="G16" s="45">
        <f>G11+G12+G13+G14+G15</f>
        <v>480100.60000000003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96">
        <v>1</v>
      </c>
      <c r="B18" s="70" t="s">
        <v>34</v>
      </c>
      <c r="C18" s="97" t="s">
        <v>202</v>
      </c>
      <c r="D18" s="71" t="s">
        <v>129</v>
      </c>
      <c r="E18" s="70"/>
      <c r="F18" s="72">
        <v>20000</v>
      </c>
      <c r="G18" s="226">
        <v>7519.23</v>
      </c>
      <c r="H18" s="92">
        <v>2014</v>
      </c>
      <c r="I18" s="92"/>
      <c r="J18" s="90" t="s">
        <v>4</v>
      </c>
      <c r="K18" s="188" t="s">
        <v>181</v>
      </c>
    </row>
    <row r="19" spans="1:11" ht="12.75">
      <c r="A19" s="29">
        <v>2</v>
      </c>
      <c r="B19" s="51" t="s">
        <v>34</v>
      </c>
      <c r="C19" s="22" t="s">
        <v>128</v>
      </c>
      <c r="D19" s="68" t="s">
        <v>129</v>
      </c>
      <c r="E19" s="51"/>
      <c r="F19" s="65">
        <v>30000</v>
      </c>
      <c r="G19" s="199">
        <v>29740.37</v>
      </c>
      <c r="H19" s="2">
        <v>2014</v>
      </c>
      <c r="I19" s="2"/>
      <c r="J19" s="2" t="s">
        <v>3</v>
      </c>
      <c r="K19" s="144"/>
    </row>
    <row r="20" spans="1:11" ht="12.75">
      <c r="A20" s="29">
        <v>3</v>
      </c>
      <c r="B20" s="139" t="s">
        <v>139</v>
      </c>
      <c r="C20" s="22" t="s">
        <v>137</v>
      </c>
      <c r="D20" s="68" t="s">
        <v>138</v>
      </c>
      <c r="E20" s="51"/>
      <c r="F20" s="65">
        <v>30000</v>
      </c>
      <c r="G20" s="199">
        <f>15816.57+27507.72</f>
        <v>43324.29</v>
      </c>
      <c r="H20" s="2">
        <v>2014</v>
      </c>
      <c r="I20" s="2"/>
      <c r="J20" s="140" t="s">
        <v>3</v>
      </c>
      <c r="K20" s="142"/>
    </row>
    <row r="21" spans="1:11" ht="12.75">
      <c r="A21" s="29">
        <v>4</v>
      </c>
      <c r="B21" s="22" t="s">
        <v>201</v>
      </c>
      <c r="C21" s="22" t="s">
        <v>209</v>
      </c>
      <c r="D21" s="68"/>
      <c r="E21" s="51"/>
      <c r="F21" s="65">
        <v>80000</v>
      </c>
      <c r="G21" s="199">
        <f>7380+482.16+88823.06</f>
        <v>96685.22</v>
      </c>
      <c r="H21" s="2">
        <v>2014</v>
      </c>
      <c r="I21" s="2"/>
      <c r="J21" s="140" t="s">
        <v>3</v>
      </c>
      <c r="K21" s="32"/>
    </row>
    <row r="22" spans="1:11" ht="12.75">
      <c r="A22" s="23">
        <v>5</v>
      </c>
      <c r="B22" s="30"/>
      <c r="C22" s="22" t="s">
        <v>20</v>
      </c>
      <c r="D22" s="68"/>
      <c r="E22" s="51"/>
      <c r="F22" s="65">
        <v>20000</v>
      </c>
      <c r="G22" s="199"/>
      <c r="H22" s="2">
        <v>2014</v>
      </c>
      <c r="I22" s="84"/>
      <c r="J22" s="140" t="s">
        <v>4</v>
      </c>
      <c r="K22" s="24"/>
    </row>
    <row r="23" spans="1:11" ht="12.75">
      <c r="A23" s="23">
        <v>6</v>
      </c>
      <c r="B23" s="185" t="s">
        <v>197</v>
      </c>
      <c r="C23" s="185" t="s">
        <v>158</v>
      </c>
      <c r="D23" s="162"/>
      <c r="E23" s="162"/>
      <c r="F23" s="159"/>
      <c r="G23" s="219">
        <f>2127.61+432+151.2+1390+1390</f>
        <v>5490.8099999999995</v>
      </c>
      <c r="H23" s="162">
        <v>2014</v>
      </c>
      <c r="I23" s="162"/>
      <c r="J23" s="95" t="s">
        <v>3</v>
      </c>
      <c r="K23" s="190"/>
    </row>
    <row r="24" spans="1:11" ht="12.75">
      <c r="A24" s="28">
        <v>7</v>
      </c>
      <c r="B24" s="165" t="s">
        <v>172</v>
      </c>
      <c r="C24" s="165" t="s">
        <v>171</v>
      </c>
      <c r="D24" s="95" t="s">
        <v>129</v>
      </c>
      <c r="E24" s="95"/>
      <c r="F24" s="175"/>
      <c r="G24" s="224">
        <f>5635.22+6929.74+286200+6124.35-6124.35</f>
        <v>298764.96</v>
      </c>
      <c r="H24" s="162">
        <v>2013</v>
      </c>
      <c r="I24" s="95"/>
      <c r="J24" s="95" t="s">
        <v>3</v>
      </c>
      <c r="K24" s="202" t="s">
        <v>173</v>
      </c>
    </row>
    <row r="25" spans="1:11" ht="12.75">
      <c r="A25" s="28">
        <v>8</v>
      </c>
      <c r="B25" s="160" t="s">
        <v>198</v>
      </c>
      <c r="C25" s="182" t="s">
        <v>234</v>
      </c>
      <c r="D25" s="161"/>
      <c r="E25" s="162"/>
      <c r="F25" s="163"/>
      <c r="G25" s="219">
        <f>4149.6+4149.6+5128.17</f>
        <v>13427.37</v>
      </c>
      <c r="H25" s="162">
        <v>2014</v>
      </c>
      <c r="I25" s="162"/>
      <c r="J25" s="166" t="s">
        <v>3</v>
      </c>
      <c r="K25" s="190"/>
    </row>
    <row r="26" spans="1:11" ht="12.75">
      <c r="A26" s="28">
        <v>9</v>
      </c>
      <c r="B26" s="211" t="s">
        <v>200</v>
      </c>
      <c r="C26" s="212" t="s">
        <v>199</v>
      </c>
      <c r="D26" s="213" t="s">
        <v>189</v>
      </c>
      <c r="E26" s="214"/>
      <c r="F26" s="215"/>
      <c r="G26" s="227">
        <f>7983.81+7983.81</f>
        <v>15967.62</v>
      </c>
      <c r="H26" s="162">
        <v>2014</v>
      </c>
      <c r="I26" s="214"/>
      <c r="J26" s="213" t="s">
        <v>3</v>
      </c>
      <c r="K26" s="190"/>
    </row>
    <row r="27" spans="1:11" ht="12.75">
      <c r="A27" s="28">
        <v>10</v>
      </c>
      <c r="B27" s="216" t="s">
        <v>220</v>
      </c>
      <c r="C27" s="217" t="s">
        <v>231</v>
      </c>
      <c r="D27" s="203"/>
      <c r="E27" s="204"/>
      <c r="F27" s="205"/>
      <c r="G27" s="228">
        <v>6124.35</v>
      </c>
      <c r="H27" s="162">
        <v>2014</v>
      </c>
      <c r="I27" s="204"/>
      <c r="J27" s="203" t="s">
        <v>4</v>
      </c>
      <c r="K27" s="24"/>
    </row>
    <row r="28" spans="1:11" ht="13.5" thickBot="1">
      <c r="A28" s="104">
        <v>11</v>
      </c>
      <c r="B28" s="206" t="s">
        <v>233</v>
      </c>
      <c r="C28" s="207" t="s">
        <v>232</v>
      </c>
      <c r="D28" s="208"/>
      <c r="E28" s="209"/>
      <c r="F28" s="210"/>
      <c r="G28" s="229">
        <v>774.53</v>
      </c>
      <c r="H28" s="173">
        <v>2014</v>
      </c>
      <c r="I28" s="209"/>
      <c r="J28" s="208" t="s">
        <v>4</v>
      </c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180000</v>
      </c>
      <c r="G30" s="44">
        <f>SUM(G18:G28)</f>
        <v>517818.75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f>F22+F18</f>
        <v>40000</v>
      </c>
      <c r="G33" s="42">
        <f>G27+G28+G18</f>
        <v>14418.11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140000</v>
      </c>
      <c r="G34" s="42">
        <f>G30-G32-G33</f>
        <v>503400.64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1097.7200000000303</v>
      </c>
      <c r="G35" s="46">
        <f>G16-G30</f>
        <v>-37718.149999999965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102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11:E11"/>
    <mergeCell ref="H11:J11"/>
    <mergeCell ref="A3:K3"/>
    <mergeCell ref="A4:K4"/>
    <mergeCell ref="A6:A7"/>
    <mergeCell ref="B6:B7"/>
    <mergeCell ref="C6:C7"/>
    <mergeCell ref="D6:D7"/>
    <mergeCell ref="E6:E7"/>
    <mergeCell ref="F6:F7"/>
    <mergeCell ref="I6:I7"/>
    <mergeCell ref="J6:J7"/>
    <mergeCell ref="K6:K7"/>
    <mergeCell ref="A9:K9"/>
    <mergeCell ref="G6:G7"/>
    <mergeCell ref="H6:H7"/>
    <mergeCell ref="A14:E14"/>
    <mergeCell ref="H14:J14"/>
    <mergeCell ref="A15:E15"/>
    <mergeCell ref="H15:J15"/>
    <mergeCell ref="A12:E12"/>
    <mergeCell ref="H12:J12"/>
    <mergeCell ref="A13:E13"/>
    <mergeCell ref="H13:J13"/>
    <mergeCell ref="B32:E32"/>
    <mergeCell ref="H32:J32"/>
    <mergeCell ref="A16:E16"/>
    <mergeCell ref="H16:J16"/>
    <mergeCell ref="A30:E30"/>
    <mergeCell ref="H30:J30"/>
    <mergeCell ref="B31:E31"/>
    <mergeCell ref="H31:J31"/>
    <mergeCell ref="B33:E33"/>
    <mergeCell ref="H33:J33"/>
    <mergeCell ref="B34:E34"/>
    <mergeCell ref="H34:J34"/>
    <mergeCell ref="A35:E35"/>
    <mergeCell ref="H35:J35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9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53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17</v>
      </c>
      <c r="D10" s="17">
        <v>15366.98</v>
      </c>
      <c r="E10" s="18" t="s">
        <v>6</v>
      </c>
      <c r="F10" s="19"/>
      <c r="G10" s="138"/>
      <c r="H10" s="11" t="s">
        <v>8</v>
      </c>
      <c r="I10" s="12">
        <v>1.4</v>
      </c>
      <c r="J10" s="13" t="s">
        <v>7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190000</v>
      </c>
      <c r="G11" s="44">
        <v>375845.09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D10*I10*12</f>
        <v>258165.26399999997</v>
      </c>
      <c r="G12" s="41">
        <f>56521.44+48286.08+31753.44+78890.52+42713.8</f>
        <v>258165.27999999997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42</v>
      </c>
      <c r="B14" s="273"/>
      <c r="C14" s="273"/>
      <c r="D14" s="273"/>
      <c r="E14" s="273"/>
      <c r="F14" s="41">
        <v>0</v>
      </c>
      <c r="G14" s="41">
        <f>(354.67*5)</f>
        <v>1773.3500000000001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0</v>
      </c>
      <c r="H15" s="250" t="s">
        <v>230</v>
      </c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448165.26399999997</v>
      </c>
      <c r="G16" s="45">
        <f>G11+G12+G13+G14+G15</f>
        <v>635783.72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87">
        <v>1</v>
      </c>
      <c r="B18" s="151" t="s">
        <v>122</v>
      </c>
      <c r="C18" s="100" t="s">
        <v>174</v>
      </c>
      <c r="D18" s="89"/>
      <c r="E18" s="90"/>
      <c r="F18" s="101">
        <v>100000</v>
      </c>
      <c r="G18" s="230">
        <f>28194.84+8065.56+21330</f>
        <v>57590.4</v>
      </c>
      <c r="H18" s="89">
        <v>2014</v>
      </c>
      <c r="I18" s="90"/>
      <c r="J18" s="102" t="s">
        <v>3</v>
      </c>
      <c r="K18" s="103"/>
    </row>
    <row r="19" spans="1:11" ht="12.75">
      <c r="A19" s="29">
        <v>2</v>
      </c>
      <c r="B19" s="27" t="s">
        <v>122</v>
      </c>
      <c r="C19" s="30" t="s">
        <v>204</v>
      </c>
      <c r="D19" s="4"/>
      <c r="E19" s="4"/>
      <c r="F19" s="31">
        <v>30000</v>
      </c>
      <c r="G19" s="231">
        <f>2860.2+6211.8+3382.5+6192+4612.5+1468.4</f>
        <v>24727.4</v>
      </c>
      <c r="H19" s="4">
        <v>2014</v>
      </c>
      <c r="I19" s="4"/>
      <c r="J19" s="34" t="s">
        <v>3</v>
      </c>
      <c r="K19" s="32"/>
    </row>
    <row r="20" spans="1:11" ht="12.75">
      <c r="A20" s="29">
        <v>3</v>
      </c>
      <c r="B20" s="30" t="s">
        <v>149</v>
      </c>
      <c r="C20" s="22" t="s">
        <v>163</v>
      </c>
      <c r="D20" s="78"/>
      <c r="E20" s="4"/>
      <c r="F20" s="31">
        <v>20000</v>
      </c>
      <c r="G20" s="200">
        <v>0</v>
      </c>
      <c r="H20" s="4"/>
      <c r="I20" s="4"/>
      <c r="J20" s="2" t="s">
        <v>4</v>
      </c>
      <c r="K20" s="184" t="s">
        <v>182</v>
      </c>
    </row>
    <row r="21" spans="1:11" ht="12.75">
      <c r="A21" s="29">
        <v>4</v>
      </c>
      <c r="B21" s="30" t="s">
        <v>150</v>
      </c>
      <c r="C21" s="22" t="s">
        <v>148</v>
      </c>
      <c r="D21" s="78"/>
      <c r="E21" s="4"/>
      <c r="F21" s="31">
        <v>150000</v>
      </c>
      <c r="G21" s="200">
        <f>174660+60228.57</f>
        <v>234888.57</v>
      </c>
      <c r="H21" s="4">
        <v>2014</v>
      </c>
      <c r="I21" s="4"/>
      <c r="J21" s="2" t="s">
        <v>3</v>
      </c>
      <c r="K21" s="32"/>
    </row>
    <row r="22" spans="1:11" ht="12.75">
      <c r="A22" s="29">
        <v>5</v>
      </c>
      <c r="B22" s="30"/>
      <c r="C22" s="22" t="s">
        <v>20</v>
      </c>
      <c r="D22" s="78"/>
      <c r="E22" s="4"/>
      <c r="F22" s="31">
        <v>30000</v>
      </c>
      <c r="G22" s="200"/>
      <c r="H22" s="4"/>
      <c r="I22" s="4"/>
      <c r="J22" s="2" t="s">
        <v>4</v>
      </c>
      <c r="K22" s="32"/>
    </row>
    <row r="23" spans="1:11" ht="12.75">
      <c r="A23" s="23">
        <v>6</v>
      </c>
      <c r="B23" s="183" t="s">
        <v>122</v>
      </c>
      <c r="C23" s="165" t="s">
        <v>175</v>
      </c>
      <c r="D23" s="95"/>
      <c r="E23" s="95"/>
      <c r="F23" s="175"/>
      <c r="G23" s="224">
        <f>3999.96+1835.66+1835.66+1835.66+1835.66+1835.67</f>
        <v>13178.27</v>
      </c>
      <c r="H23" s="95">
        <v>2014</v>
      </c>
      <c r="I23" s="95"/>
      <c r="J23" s="166" t="s">
        <v>3</v>
      </c>
      <c r="K23" s="190"/>
    </row>
    <row r="24" spans="1:11" ht="12.75">
      <c r="A24" s="28">
        <v>7</v>
      </c>
      <c r="B24" s="183" t="s">
        <v>222</v>
      </c>
      <c r="C24" s="158" t="s">
        <v>235</v>
      </c>
      <c r="D24" s="166"/>
      <c r="E24" s="95"/>
      <c r="F24" s="167"/>
      <c r="G24" s="224">
        <v>4185</v>
      </c>
      <c r="H24" s="95">
        <v>2014</v>
      </c>
      <c r="I24" s="95"/>
      <c r="J24" s="166" t="s">
        <v>3</v>
      </c>
      <c r="K24" s="190"/>
    </row>
    <row r="25" spans="1:11" ht="12.75">
      <c r="A25" s="28">
        <v>8</v>
      </c>
      <c r="B25" s="160" t="s">
        <v>210</v>
      </c>
      <c r="C25" s="182" t="s">
        <v>205</v>
      </c>
      <c r="D25" s="161"/>
      <c r="E25" s="162"/>
      <c r="F25" s="163"/>
      <c r="G25" s="219">
        <f>4968+3974.4+1263.72</f>
        <v>10206.119999999999</v>
      </c>
      <c r="H25" s="95">
        <v>2014</v>
      </c>
      <c r="I25" s="162"/>
      <c r="J25" s="166" t="s">
        <v>3</v>
      </c>
      <c r="K25" s="190"/>
    </row>
    <row r="26" spans="1:11" ht="12.75">
      <c r="A26" s="28">
        <v>9</v>
      </c>
      <c r="B26" s="183" t="s">
        <v>122</v>
      </c>
      <c r="C26" s="182" t="s">
        <v>221</v>
      </c>
      <c r="D26" s="34"/>
      <c r="E26" s="4"/>
      <c r="F26" s="64"/>
      <c r="G26" s="219">
        <f>455.1+23889.6+16934.4+10281.6+19958.4+6652.8+1458+486</f>
        <v>80115.90000000001</v>
      </c>
      <c r="H26" s="95">
        <v>2014</v>
      </c>
      <c r="I26" s="4"/>
      <c r="J26" s="161" t="s">
        <v>3</v>
      </c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330000</v>
      </c>
      <c r="G30" s="44">
        <f>SUM(G18:G28)</f>
        <v>424891.66000000003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f>F20+F22</f>
        <v>50000</v>
      </c>
      <c r="G33" s="42">
        <f>G20+G22</f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280000</v>
      </c>
      <c r="G34" s="42">
        <f>G30-G32-G33</f>
        <v>424891.66000000003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118165.26399999997</v>
      </c>
      <c r="G35" s="46">
        <f>G16-G30</f>
        <v>210892.05999999994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103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11:E11"/>
    <mergeCell ref="H11:J11"/>
    <mergeCell ref="A3:K3"/>
    <mergeCell ref="A4:K4"/>
    <mergeCell ref="A6:A7"/>
    <mergeCell ref="B6:B7"/>
    <mergeCell ref="C6:C7"/>
    <mergeCell ref="D6:D7"/>
    <mergeCell ref="E6:E7"/>
    <mergeCell ref="F6:F7"/>
    <mergeCell ref="I6:I7"/>
    <mergeCell ref="J6:J7"/>
    <mergeCell ref="K6:K7"/>
    <mergeCell ref="A9:K9"/>
    <mergeCell ref="G6:G7"/>
    <mergeCell ref="H6:H7"/>
    <mergeCell ref="A14:E14"/>
    <mergeCell ref="H14:J14"/>
    <mergeCell ref="A15:E15"/>
    <mergeCell ref="H15:J15"/>
    <mergeCell ref="A12:E12"/>
    <mergeCell ref="H12:J12"/>
    <mergeCell ref="A13:E13"/>
    <mergeCell ref="H13:J13"/>
    <mergeCell ref="B32:E32"/>
    <mergeCell ref="H32:J32"/>
    <mergeCell ref="A16:E16"/>
    <mergeCell ref="H16:J16"/>
    <mergeCell ref="A30:E30"/>
    <mergeCell ref="H30:J30"/>
    <mergeCell ref="B31:E31"/>
    <mergeCell ref="H31:J31"/>
    <mergeCell ref="H33:J33"/>
    <mergeCell ref="B34:E34"/>
    <mergeCell ref="H34:J34"/>
    <mergeCell ref="B33:E33"/>
    <mergeCell ref="A35:E35"/>
    <mergeCell ref="H35:J35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8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54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17</v>
      </c>
      <c r="D10" s="17">
        <v>5787</v>
      </c>
      <c r="E10" s="18" t="s">
        <v>6</v>
      </c>
      <c r="F10" s="19"/>
      <c r="G10" s="138"/>
      <c r="H10" s="11" t="s">
        <v>8</v>
      </c>
      <c r="I10" s="12">
        <v>1.2</v>
      </c>
      <c r="J10" s="13" t="s">
        <v>7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30000</v>
      </c>
      <c r="G11" s="44">
        <v>64173.68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D10*I10*12</f>
        <v>83332.79999999999</v>
      </c>
      <c r="G12" s="41">
        <v>83332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42</v>
      </c>
      <c r="B14" s="273"/>
      <c r="C14" s="273"/>
      <c r="D14" s="273"/>
      <c r="E14" s="273"/>
      <c r="F14" s="41">
        <v>0</v>
      </c>
      <c r="G14" s="41">
        <v>667.82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16129.53</v>
      </c>
      <c r="H15" s="250" t="s">
        <v>230</v>
      </c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113332.79999999999</v>
      </c>
      <c r="G16" s="45">
        <f>G11+G12+G13+G14+G15</f>
        <v>164303.03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120">
        <v>1</v>
      </c>
      <c r="B18" s="97" t="s">
        <v>22</v>
      </c>
      <c r="C18" s="97" t="s">
        <v>92</v>
      </c>
      <c r="D18" s="92"/>
      <c r="E18" s="92"/>
      <c r="F18" s="98">
        <v>70000</v>
      </c>
      <c r="G18" s="226">
        <v>98445.2</v>
      </c>
      <c r="H18" s="92">
        <v>2014</v>
      </c>
      <c r="I18" s="92"/>
      <c r="J18" s="92" t="s">
        <v>3</v>
      </c>
      <c r="K18" s="121"/>
    </row>
    <row r="19" spans="1:11" ht="12.75">
      <c r="A19" s="29">
        <v>2</v>
      </c>
      <c r="B19" s="30" t="s">
        <v>22</v>
      </c>
      <c r="C19" s="22" t="s">
        <v>135</v>
      </c>
      <c r="D19" s="4" t="s">
        <v>142</v>
      </c>
      <c r="E19" s="4"/>
      <c r="F19" s="31">
        <f>720.6*25</f>
        <v>18015</v>
      </c>
      <c r="G19" s="200">
        <v>7515.46</v>
      </c>
      <c r="H19" s="4">
        <v>2014</v>
      </c>
      <c r="I19" s="4"/>
      <c r="J19" s="4" t="s">
        <v>3</v>
      </c>
      <c r="K19" s="32"/>
    </row>
    <row r="20" spans="1:11" ht="12.75">
      <c r="A20" s="29">
        <v>3</v>
      </c>
      <c r="B20" s="30"/>
      <c r="C20" s="22" t="s">
        <v>20</v>
      </c>
      <c r="D20" s="4"/>
      <c r="E20" s="4"/>
      <c r="F20" s="31">
        <v>25000</v>
      </c>
      <c r="G20" s="31"/>
      <c r="H20" s="4">
        <v>2014</v>
      </c>
      <c r="I20" s="4"/>
      <c r="J20" s="4" t="s">
        <v>4</v>
      </c>
      <c r="K20" s="32"/>
    </row>
    <row r="21" spans="1:11" ht="12.75">
      <c r="A21" s="29">
        <v>4</v>
      </c>
      <c r="B21" s="185" t="s">
        <v>22</v>
      </c>
      <c r="C21" s="185" t="s">
        <v>164</v>
      </c>
      <c r="D21" s="162"/>
      <c r="E21" s="162"/>
      <c r="F21" s="159"/>
      <c r="G21" s="219">
        <f>23960.4+482.16+12081.06+4273.9</f>
        <v>40797.520000000004</v>
      </c>
      <c r="H21" s="162">
        <v>2014</v>
      </c>
      <c r="I21" s="162"/>
      <c r="J21" s="95" t="s">
        <v>3</v>
      </c>
      <c r="K21" s="32"/>
    </row>
    <row r="22" spans="1:11" ht="12.75">
      <c r="A22" s="29">
        <v>5</v>
      </c>
      <c r="B22" s="185" t="s">
        <v>22</v>
      </c>
      <c r="C22" s="185" t="s">
        <v>177</v>
      </c>
      <c r="D22" s="162"/>
      <c r="E22" s="162"/>
      <c r="F22" s="159"/>
      <c r="G22" s="219">
        <v>6480</v>
      </c>
      <c r="H22" s="162">
        <v>2014</v>
      </c>
      <c r="I22" s="162"/>
      <c r="J22" s="95" t="s">
        <v>3</v>
      </c>
      <c r="K22" s="32"/>
    </row>
    <row r="23" spans="1:11" ht="12.75">
      <c r="A23" s="23">
        <v>6</v>
      </c>
      <c r="B23" s="165"/>
      <c r="C23" s="165"/>
      <c r="D23" s="95"/>
      <c r="E23" s="95"/>
      <c r="F23" s="175"/>
      <c r="G23" s="175"/>
      <c r="H23" s="2"/>
      <c r="I23" s="2"/>
      <c r="J23" s="25"/>
      <c r="K23" s="24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113015</v>
      </c>
      <c r="G30" s="44">
        <f>SUM(G18:G28)</f>
        <v>153238.18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f>F20</f>
        <v>25000</v>
      </c>
      <c r="G33" s="42">
        <f>G20</f>
        <v>0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88015</v>
      </c>
      <c r="G34" s="42">
        <f>G30-G32-G33</f>
        <v>153238.18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317.79999999998836</v>
      </c>
      <c r="G35" s="46">
        <f>G16-G30</f>
        <v>11064.850000000006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104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H12:J12"/>
    <mergeCell ref="A13:E13"/>
    <mergeCell ref="H13:J13"/>
    <mergeCell ref="H15:J15"/>
    <mergeCell ref="A15:E15"/>
    <mergeCell ref="A9:K9"/>
    <mergeCell ref="A11:E11"/>
    <mergeCell ref="H11:J11"/>
    <mergeCell ref="A14:E14"/>
    <mergeCell ref="H14:J14"/>
    <mergeCell ref="I6:I7"/>
    <mergeCell ref="H32:J32"/>
    <mergeCell ref="A12:E12"/>
    <mergeCell ref="H34:J34"/>
    <mergeCell ref="A35:E35"/>
    <mergeCell ref="A16:E16"/>
    <mergeCell ref="H16:J16"/>
    <mergeCell ref="E6:E7"/>
    <mergeCell ref="H30:J30"/>
    <mergeCell ref="G6:G7"/>
    <mergeCell ref="B31:E31"/>
    <mergeCell ref="H31:J31"/>
    <mergeCell ref="B32:E32"/>
    <mergeCell ref="A30:E30"/>
    <mergeCell ref="H35:J35"/>
    <mergeCell ref="B33:E33"/>
    <mergeCell ref="H33:J33"/>
    <mergeCell ref="B34:E3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0">
      <selection activeCell="A35" sqref="A35:E3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162</v>
      </c>
      <c r="I2" s="10"/>
      <c r="J2" s="10"/>
      <c r="K2" s="10"/>
    </row>
    <row r="3" spans="1:12" ht="12.75" customHeight="1">
      <c r="A3" s="286" t="s">
        <v>118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"/>
    </row>
    <row r="4" spans="1:11" ht="12.75" customHeight="1">
      <c r="A4" s="286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88" t="s">
        <v>9</v>
      </c>
      <c r="B6" s="276" t="s">
        <v>0</v>
      </c>
      <c r="C6" s="276" t="s">
        <v>1</v>
      </c>
      <c r="D6" s="276" t="s">
        <v>10</v>
      </c>
      <c r="E6" s="276" t="s">
        <v>11</v>
      </c>
      <c r="F6" s="276" t="s">
        <v>12</v>
      </c>
      <c r="G6" s="290" t="s">
        <v>13</v>
      </c>
      <c r="H6" s="276" t="s">
        <v>14</v>
      </c>
      <c r="I6" s="276" t="s">
        <v>15</v>
      </c>
      <c r="J6" s="276" t="s">
        <v>16</v>
      </c>
      <c r="K6" s="278" t="s">
        <v>2</v>
      </c>
    </row>
    <row r="7" spans="1:11" ht="13.5" thickBot="1">
      <c r="A7" s="289"/>
      <c r="B7" s="277"/>
      <c r="C7" s="277"/>
      <c r="D7" s="277"/>
      <c r="E7" s="277"/>
      <c r="F7" s="277"/>
      <c r="G7" s="291"/>
      <c r="H7" s="277"/>
      <c r="I7" s="277"/>
      <c r="J7" s="277"/>
      <c r="K7" s="279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80" t="s">
        <v>55</v>
      </c>
      <c r="B9" s="281"/>
      <c r="C9" s="281"/>
      <c r="D9" s="281"/>
      <c r="E9" s="281"/>
      <c r="F9" s="281"/>
      <c r="G9" s="281"/>
      <c r="H9" s="281"/>
      <c r="I9" s="281"/>
      <c r="J9" s="281"/>
      <c r="K9" s="282"/>
    </row>
    <row r="10" spans="1:11" s="14" customFormat="1" ht="12.75" customHeight="1" thickBot="1">
      <c r="A10" s="15"/>
      <c r="B10" s="16"/>
      <c r="C10" s="16" t="s">
        <v>17</v>
      </c>
      <c r="D10" s="17">
        <v>13611.2</v>
      </c>
      <c r="E10" s="18" t="s">
        <v>6</v>
      </c>
      <c r="F10" s="19"/>
      <c r="G10" s="138"/>
      <c r="H10" s="11" t="s">
        <v>8</v>
      </c>
      <c r="I10" s="12">
        <v>1.2</v>
      </c>
      <c r="J10" s="13" t="s">
        <v>7</v>
      </c>
      <c r="K10" s="20"/>
    </row>
    <row r="11" spans="1:11" s="14" customFormat="1" ht="13.5" customHeight="1">
      <c r="A11" s="262" t="s">
        <v>145</v>
      </c>
      <c r="B11" s="263"/>
      <c r="C11" s="263"/>
      <c r="D11" s="263"/>
      <c r="E11" s="263"/>
      <c r="F11" s="44">
        <v>40000</v>
      </c>
      <c r="G11" s="44">
        <v>-2285.23</v>
      </c>
      <c r="H11" s="264"/>
      <c r="I11" s="265"/>
      <c r="J11" s="265"/>
      <c r="K11" s="94"/>
    </row>
    <row r="12" spans="1:11" s="14" customFormat="1" ht="13.5" customHeight="1">
      <c r="A12" s="269" t="s">
        <v>29</v>
      </c>
      <c r="B12" s="270"/>
      <c r="C12" s="270"/>
      <c r="D12" s="270"/>
      <c r="E12" s="270"/>
      <c r="F12" s="41">
        <f>D10*I10*12</f>
        <v>196001.28</v>
      </c>
      <c r="G12" s="41">
        <f>21211.2+21244.32+21251.52+21195.36+111098.88</f>
        <v>196001.28000000003</v>
      </c>
      <c r="H12" s="250"/>
      <c r="I12" s="271"/>
      <c r="J12" s="271"/>
      <c r="K12" s="54"/>
    </row>
    <row r="13" spans="1:11" s="14" customFormat="1" ht="13.5" customHeight="1">
      <c r="A13" s="269" t="s">
        <v>38</v>
      </c>
      <c r="B13" s="270"/>
      <c r="C13" s="270"/>
      <c r="D13" s="270"/>
      <c r="E13" s="270"/>
      <c r="F13" s="41">
        <f>-(D10*12*0)</f>
        <v>0</v>
      </c>
      <c r="G13" s="41">
        <v>0</v>
      </c>
      <c r="H13" s="250"/>
      <c r="I13" s="271"/>
      <c r="J13" s="271"/>
      <c r="K13" s="54"/>
    </row>
    <row r="14" spans="1:11" s="40" customFormat="1" ht="12.75" customHeight="1">
      <c r="A14" s="272" t="s">
        <v>42</v>
      </c>
      <c r="B14" s="273"/>
      <c r="C14" s="273"/>
      <c r="D14" s="273"/>
      <c r="E14" s="273"/>
      <c r="F14" s="41">
        <v>0</v>
      </c>
      <c r="G14" s="41">
        <v>300.35</v>
      </c>
      <c r="H14" s="250"/>
      <c r="I14" s="271"/>
      <c r="J14" s="271"/>
      <c r="K14" s="54"/>
    </row>
    <row r="15" spans="1:11" s="14" customFormat="1" ht="13.5" customHeight="1">
      <c r="A15" s="269" t="s">
        <v>88</v>
      </c>
      <c r="B15" s="270"/>
      <c r="C15" s="270"/>
      <c r="D15" s="270"/>
      <c r="E15" s="270"/>
      <c r="F15" s="41">
        <v>0</v>
      </c>
      <c r="G15" s="41">
        <v>37937.13</v>
      </c>
      <c r="H15" s="250" t="s">
        <v>230</v>
      </c>
      <c r="I15" s="271"/>
      <c r="J15" s="271"/>
      <c r="K15" s="54"/>
    </row>
    <row r="16" spans="1:11" s="39" customFormat="1" ht="12.75" customHeight="1" thickBot="1">
      <c r="A16" s="244" t="s">
        <v>90</v>
      </c>
      <c r="B16" s="245"/>
      <c r="C16" s="245"/>
      <c r="D16" s="245"/>
      <c r="E16" s="245"/>
      <c r="F16" s="45">
        <f>F11+F12+F13+F14+F15</f>
        <v>236001.28</v>
      </c>
      <c r="G16" s="45">
        <f>G11+G12+G13+G14+G15</f>
        <v>231953.53000000003</v>
      </c>
      <c r="H16" s="246"/>
      <c r="I16" s="247"/>
      <c r="J16" s="247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120">
        <v>1</v>
      </c>
      <c r="B18" s="97" t="s">
        <v>130</v>
      </c>
      <c r="C18" s="97" t="s">
        <v>131</v>
      </c>
      <c r="D18" s="92"/>
      <c r="E18" s="92"/>
      <c r="F18" s="98">
        <v>100000</v>
      </c>
      <c r="G18" s="226">
        <f>1084.25+4988.59</f>
        <v>6072.84</v>
      </c>
      <c r="H18" s="92">
        <v>2014</v>
      </c>
      <c r="I18" s="92"/>
      <c r="J18" s="92" t="s">
        <v>4</v>
      </c>
      <c r="K18" s="121"/>
    </row>
    <row r="19" spans="1:11" ht="12.75">
      <c r="A19" s="29">
        <v>2</v>
      </c>
      <c r="B19" s="30" t="s">
        <v>144</v>
      </c>
      <c r="C19" s="30" t="s">
        <v>133</v>
      </c>
      <c r="D19" s="4" t="s">
        <v>152</v>
      </c>
      <c r="E19" s="4"/>
      <c r="F19" s="31">
        <v>27500</v>
      </c>
      <c r="G19" s="200">
        <v>20836.73</v>
      </c>
      <c r="H19" s="4">
        <v>2014</v>
      </c>
      <c r="I19" s="2"/>
      <c r="J19" s="25" t="s">
        <v>3</v>
      </c>
      <c r="K19" s="32"/>
    </row>
    <row r="20" spans="1:11" ht="12.75">
      <c r="A20" s="29">
        <v>3</v>
      </c>
      <c r="B20" s="30" t="s">
        <v>151</v>
      </c>
      <c r="C20" s="30" t="s">
        <v>133</v>
      </c>
      <c r="D20" s="4" t="s">
        <v>153</v>
      </c>
      <c r="E20" s="4"/>
      <c r="F20" s="31">
        <f>1496*25</f>
        <v>37400</v>
      </c>
      <c r="G20" s="200">
        <f>4381.86+4057.85+4489.85+4057.85</f>
        <v>16987.41</v>
      </c>
      <c r="H20" s="4">
        <v>2014</v>
      </c>
      <c r="I20" s="2"/>
      <c r="J20" s="25" t="s">
        <v>3</v>
      </c>
      <c r="K20" s="32"/>
    </row>
    <row r="21" spans="1:11" ht="12.75">
      <c r="A21" s="29">
        <v>4</v>
      </c>
      <c r="B21" s="30"/>
      <c r="C21" s="30" t="s">
        <v>20</v>
      </c>
      <c r="D21" s="4"/>
      <c r="E21" s="4"/>
      <c r="F21" s="31">
        <v>30000</v>
      </c>
      <c r="G21" s="200"/>
      <c r="H21" s="4">
        <v>2014</v>
      </c>
      <c r="I21" s="2"/>
      <c r="J21" s="25" t="s">
        <v>4</v>
      </c>
      <c r="K21" s="32"/>
    </row>
    <row r="22" spans="1:11" ht="12.75">
      <c r="A22" s="29">
        <v>5</v>
      </c>
      <c r="B22" s="185" t="s">
        <v>207</v>
      </c>
      <c r="C22" s="185" t="s">
        <v>206</v>
      </c>
      <c r="D22" s="162"/>
      <c r="E22" s="162"/>
      <c r="F22" s="159"/>
      <c r="G22" s="219">
        <f>2207.72+4251.68</f>
        <v>6459.4</v>
      </c>
      <c r="H22" s="162">
        <v>2014</v>
      </c>
      <c r="I22" s="95"/>
      <c r="J22" s="166" t="s">
        <v>3</v>
      </c>
      <c r="K22" s="190"/>
    </row>
    <row r="23" spans="1:11" s="132" customFormat="1" ht="12.75">
      <c r="A23" s="131">
        <v>6</v>
      </c>
      <c r="B23" s="185" t="s">
        <v>207</v>
      </c>
      <c r="C23" s="182" t="s">
        <v>199</v>
      </c>
      <c r="D23" s="168" t="s">
        <v>189</v>
      </c>
      <c r="E23" s="168"/>
      <c r="F23" s="167"/>
      <c r="G23" s="218">
        <f>9850+7983.81</f>
        <v>17833.81</v>
      </c>
      <c r="H23" s="187">
        <v>2014</v>
      </c>
      <c r="I23" s="192"/>
      <c r="J23" s="192" t="s">
        <v>3</v>
      </c>
      <c r="K23" s="191"/>
    </row>
    <row r="24" spans="1:11" ht="12.75">
      <c r="A24" s="28">
        <v>7</v>
      </c>
      <c r="B24" s="27"/>
      <c r="C24" s="51"/>
      <c r="D24" s="4"/>
      <c r="E24" s="4"/>
      <c r="F24" s="31"/>
      <c r="G24" s="31"/>
      <c r="H24" s="4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62" t="s">
        <v>40</v>
      </c>
      <c r="B30" s="263"/>
      <c r="C30" s="263"/>
      <c r="D30" s="263"/>
      <c r="E30" s="263"/>
      <c r="F30" s="44">
        <f>SUM(F18:F28)</f>
        <v>194900</v>
      </c>
      <c r="G30" s="44">
        <f>SUM(G18:G28)</f>
        <v>68190.19</v>
      </c>
      <c r="H30" s="264"/>
      <c r="I30" s="265"/>
      <c r="J30" s="265"/>
      <c r="K30" s="94"/>
    </row>
    <row r="31" spans="1:11" s="14" customFormat="1" ht="13.5" customHeight="1">
      <c r="A31" s="112"/>
      <c r="B31" s="254" t="s">
        <v>21</v>
      </c>
      <c r="C31" s="251"/>
      <c r="D31" s="256"/>
      <c r="E31" s="257"/>
      <c r="F31" s="113"/>
      <c r="G31" s="113"/>
      <c r="H31" s="266"/>
      <c r="I31" s="267"/>
      <c r="J31" s="267"/>
      <c r="K31" s="53"/>
    </row>
    <row r="32" spans="1:11" s="14" customFormat="1" ht="13.5" customHeight="1">
      <c r="A32" s="112"/>
      <c r="B32" s="254"/>
      <c r="C32" s="268"/>
      <c r="D32" s="256"/>
      <c r="E32" s="257"/>
      <c r="F32" s="114"/>
      <c r="G32" s="114"/>
      <c r="H32" s="250"/>
      <c r="I32" s="251"/>
      <c r="J32" s="251"/>
      <c r="K32" s="54"/>
    </row>
    <row r="33" spans="1:11" s="14" customFormat="1" ht="13.5" customHeight="1">
      <c r="A33" s="115"/>
      <c r="B33" s="254" t="s">
        <v>4</v>
      </c>
      <c r="C33" s="255"/>
      <c r="D33" s="256"/>
      <c r="E33" s="257"/>
      <c r="F33" s="42">
        <f>F21</f>
        <v>30000</v>
      </c>
      <c r="G33" s="42">
        <f>G18</f>
        <v>6072.84</v>
      </c>
      <c r="H33" s="258"/>
      <c r="I33" s="259"/>
      <c r="J33" s="259"/>
      <c r="K33" s="56"/>
    </row>
    <row r="34" spans="1:11" s="14" customFormat="1" ht="13.5" customHeight="1">
      <c r="A34" s="115"/>
      <c r="B34" s="252" t="s">
        <v>3</v>
      </c>
      <c r="C34" s="252"/>
      <c r="D34" s="253"/>
      <c r="E34" s="253"/>
      <c r="F34" s="42">
        <f>F30-F32-F33</f>
        <v>164900</v>
      </c>
      <c r="G34" s="42">
        <f>G30-G32-G33</f>
        <v>62117.350000000006</v>
      </c>
      <c r="H34" s="248"/>
      <c r="I34" s="249"/>
      <c r="J34" s="249"/>
      <c r="K34" s="35"/>
    </row>
    <row r="35" spans="1:11" s="14" customFormat="1" ht="13.5" customHeight="1" thickBot="1">
      <c r="A35" s="260" t="s">
        <v>241</v>
      </c>
      <c r="B35" s="261"/>
      <c r="C35" s="261"/>
      <c r="D35" s="261"/>
      <c r="E35" s="261"/>
      <c r="F35" s="46">
        <f>F16-F30</f>
        <v>41101.28</v>
      </c>
      <c r="G35" s="46">
        <f>G16-G30</f>
        <v>163763.34000000003</v>
      </c>
      <c r="H35" s="246"/>
      <c r="I35" s="247"/>
      <c r="J35" s="247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48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48" t="s">
        <v>105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H12:J12"/>
    <mergeCell ref="A13:E13"/>
    <mergeCell ref="H13:J13"/>
    <mergeCell ref="H15:J15"/>
    <mergeCell ref="A15:E15"/>
    <mergeCell ref="A9:K9"/>
    <mergeCell ref="A11:E11"/>
    <mergeCell ref="H11:J11"/>
    <mergeCell ref="A14:E14"/>
    <mergeCell ref="H14:J14"/>
    <mergeCell ref="I6:I7"/>
    <mergeCell ref="H32:J32"/>
    <mergeCell ref="A12:E12"/>
    <mergeCell ref="H34:J34"/>
    <mergeCell ref="A35:E35"/>
    <mergeCell ref="A16:E16"/>
    <mergeCell ref="H16:J16"/>
    <mergeCell ref="E6:E7"/>
    <mergeCell ref="H30:J30"/>
    <mergeCell ref="G6:G7"/>
    <mergeCell ref="B31:E31"/>
    <mergeCell ref="H31:J31"/>
    <mergeCell ref="B32:E32"/>
    <mergeCell ref="A30:E30"/>
    <mergeCell ref="H35:J35"/>
    <mergeCell ref="B33:E33"/>
    <mergeCell ref="H33:J33"/>
    <mergeCell ref="B34:E3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techniczny_nowy</dc:creator>
  <cp:keywords/>
  <dc:description/>
  <cp:lastModifiedBy>ohmin</cp:lastModifiedBy>
  <cp:lastPrinted>2015-03-17T11:29:39Z</cp:lastPrinted>
  <dcterms:created xsi:type="dcterms:W3CDTF">2010-10-22T05:56:20Z</dcterms:created>
  <dcterms:modified xsi:type="dcterms:W3CDTF">2015-03-25T16:44:46Z</dcterms:modified>
  <cp:category/>
  <cp:version/>
  <cp:contentType/>
  <cp:contentStatus/>
</cp:coreProperties>
</file>