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120" windowHeight="13425" activeTab="2"/>
  </bookViews>
  <sheets>
    <sheet name="RAZEM" sheetId="1" r:id="rId1"/>
    <sheet name="SFR" sheetId="2" r:id="rId2"/>
    <sheet name="N01" sheetId="3" r:id="rId3"/>
    <sheet name="N02" sheetId="4" r:id="rId4"/>
    <sheet name="N03" sheetId="5" r:id="rId5"/>
    <sheet name="N04" sheetId="6" r:id="rId6"/>
    <sheet name="N06" sheetId="7" r:id="rId7"/>
    <sheet name="N07" sheetId="8" r:id="rId8"/>
    <sheet name="N08" sheetId="9" r:id="rId9"/>
    <sheet name="N09" sheetId="10" r:id="rId10"/>
    <sheet name="N18" sheetId="11" r:id="rId11"/>
    <sheet name="GARAŻE N01" sheetId="12" r:id="rId12"/>
    <sheet name="GARAŻE N02" sheetId="13" r:id="rId13"/>
    <sheet name="GARAŻE N04" sheetId="14" r:id="rId14"/>
    <sheet name="GARAŻE N06" sheetId="15" r:id="rId15"/>
    <sheet name="DŹWIGI N01" sheetId="16" r:id="rId16"/>
    <sheet name="DŹWIGI N03" sheetId="17" r:id="rId17"/>
    <sheet name="DŹWIGI N04" sheetId="18" r:id="rId18"/>
    <sheet name="DŹWIGI N06" sheetId="19" r:id="rId19"/>
    <sheet name="DŹWIGI N07" sheetId="20" r:id="rId20"/>
    <sheet name="DŹWIGI N18" sheetId="21" r:id="rId21"/>
    <sheet name="Arkusz3" sheetId="22" r:id="rId22"/>
  </sheets>
  <definedNames>
    <definedName name="_xlnm.Print_Titles" localSheetId="15">'DŹWIGI N01'!$1:$7</definedName>
    <definedName name="_xlnm.Print_Titles" localSheetId="16">'DŹWIGI N03'!$1:$7</definedName>
    <definedName name="_xlnm.Print_Titles" localSheetId="17">'DŹWIGI N04'!$1:$7</definedName>
    <definedName name="_xlnm.Print_Titles" localSheetId="18">'DŹWIGI N06'!$1:$7</definedName>
    <definedName name="_xlnm.Print_Titles" localSheetId="19">'DŹWIGI N07'!$1:$7</definedName>
    <definedName name="_xlnm.Print_Titles" localSheetId="20">'DŹWIGI N18'!$1:$7</definedName>
    <definedName name="_xlnm.Print_Titles" localSheetId="11">'GARAŻE N01'!$1:$7</definedName>
    <definedName name="_xlnm.Print_Titles" localSheetId="12">'GARAŻE N02'!$1:$7</definedName>
    <definedName name="_xlnm.Print_Titles" localSheetId="13">'GARAŻE N04'!$1:$7</definedName>
    <definedName name="_xlnm.Print_Titles" localSheetId="14">'GARAŻE N06'!$1:$7</definedName>
    <definedName name="_xlnm.Print_Titles" localSheetId="2">'N01'!$1:$7</definedName>
    <definedName name="_xlnm.Print_Titles" localSheetId="3">'N02'!$1:$7</definedName>
    <definedName name="_xlnm.Print_Titles" localSheetId="4">'N03'!$1:$7</definedName>
    <definedName name="_xlnm.Print_Titles" localSheetId="5">'N04'!$1:$7</definedName>
    <definedName name="_xlnm.Print_Titles" localSheetId="6">'N06'!$1:$7</definedName>
    <definedName name="_xlnm.Print_Titles" localSheetId="7">'N07'!$1:$7</definedName>
    <definedName name="_xlnm.Print_Titles" localSheetId="8">'N08'!$1:$7</definedName>
    <definedName name="_xlnm.Print_Titles" localSheetId="9">'N09'!$1:$7</definedName>
    <definedName name="_xlnm.Print_Titles" localSheetId="10">'N18'!$1:$7</definedName>
    <definedName name="_xlnm.Print_Titles" localSheetId="0">'RAZEM'!$1:$7</definedName>
    <definedName name="_xlnm.Print_Titles" localSheetId="1">'SFR'!$1:$7</definedName>
  </definedNames>
  <calcPr fullCalcOnLoad="1"/>
</workbook>
</file>

<file path=xl/sharedStrings.xml><?xml version="1.0" encoding="utf-8"?>
<sst xmlns="http://schemas.openxmlformats.org/spreadsheetml/2006/main" count="1091" uniqueCount="233">
  <si>
    <t>Adres</t>
  </si>
  <si>
    <t>Opis robót remontowych</t>
  </si>
  <si>
    <t>Uwagi</t>
  </si>
  <si>
    <t>Obcy</t>
  </si>
  <si>
    <t>Ekipa</t>
  </si>
  <si>
    <t>WSM Adm. Osiedla "MŁOCINY"</t>
  </si>
  <si>
    <t>m2</t>
  </si>
  <si>
    <t>zł/m2</t>
  </si>
  <si>
    <t>stawka =</t>
  </si>
  <si>
    <t>L.p.</t>
  </si>
  <si>
    <t>Zakres plan.</t>
  </si>
  <si>
    <t>Zakres wyk.</t>
  </si>
  <si>
    <t>Wartość plan.</t>
  </si>
  <si>
    <t>Wartość wyk.</t>
  </si>
  <si>
    <t>Termin plan.</t>
  </si>
  <si>
    <t>Termin wyk.</t>
  </si>
  <si>
    <t>Wyk. robót</t>
  </si>
  <si>
    <t>pow. użyt. lokali mieszkalnych =</t>
  </si>
  <si>
    <t>Szegedyńska 10</t>
  </si>
  <si>
    <t>1 bud</t>
  </si>
  <si>
    <t>Wrzeciono 12</t>
  </si>
  <si>
    <t>Rezerwa na awarie i roboty nieprzewidziane</t>
  </si>
  <si>
    <t>II/III kw.</t>
  </si>
  <si>
    <t>refakturowane</t>
  </si>
  <si>
    <t>w tym:</t>
  </si>
  <si>
    <t>Przy Agorze 3</t>
  </si>
  <si>
    <t>Wymiana instalacji elektrycznej</t>
  </si>
  <si>
    <t>N01</t>
  </si>
  <si>
    <t>N02</t>
  </si>
  <si>
    <t>N04</t>
  </si>
  <si>
    <t>N03</t>
  </si>
  <si>
    <t>ilość lokali =</t>
  </si>
  <si>
    <t>Wrzeciono 50</t>
  </si>
  <si>
    <t>Szegedyńska 5A</t>
  </si>
  <si>
    <t>II. NALICZENIE ROCZNE funduszu remontowego nieruchomości:</t>
  </si>
  <si>
    <t>szt</t>
  </si>
  <si>
    <t>zł/lok</t>
  </si>
  <si>
    <t>Szegedyńska 1</t>
  </si>
  <si>
    <t>Wrzeciono 52</t>
  </si>
  <si>
    <t>SFR</t>
  </si>
  <si>
    <t>Wrzeciono 6</t>
  </si>
  <si>
    <t>Wrzeciono 55</t>
  </si>
  <si>
    <t>Wrzeciono 55A</t>
  </si>
  <si>
    <t>Wrzeciono 57</t>
  </si>
  <si>
    <t>Marymoncka 137/139</t>
  </si>
  <si>
    <t>Rezerwa na awarie i roboty nieprzewidziane lok. użytkowych</t>
  </si>
  <si>
    <t>N08</t>
  </si>
  <si>
    <t>N18</t>
  </si>
  <si>
    <t>II/III kw</t>
  </si>
  <si>
    <t>I kw</t>
  </si>
  <si>
    <t>III. ODPIS na SFR:</t>
  </si>
  <si>
    <t>II. ODPIS z naliczenia funduszy remontowych nieruchomości:</t>
  </si>
  <si>
    <t>1 kpl</t>
  </si>
  <si>
    <t>VIII. RAZEM WYDATKI:</t>
  </si>
  <si>
    <t>VII. ŚRODKI DO WYKORZYSTANIA (I+II+III+IV+VI):</t>
  </si>
  <si>
    <t>IV. DODATKOWE ZASILENIA:</t>
  </si>
  <si>
    <t>Wrzec. 57B/59-59C</t>
  </si>
  <si>
    <t>SCENTRALIZOWANY FUNDUSZ REMONTOWY OSIEDLA</t>
  </si>
  <si>
    <t>pow. garaży =</t>
  </si>
  <si>
    <t>Szegedyńska 5</t>
  </si>
  <si>
    <t>IV. DODATKOWE ZASILENIA (refundacja od mieszkańców):</t>
  </si>
  <si>
    <t>pow. użyt. lokali mieszkalnych (bez N06) =</t>
  </si>
  <si>
    <t>III. ODPIS 100% z naliczenia fun. remont. lokali użytkowych:</t>
  </si>
  <si>
    <t>Nieruchomość 01 - lokale mieszkalne</t>
  </si>
  <si>
    <t>Nieruchomość 02 - lokale mieszkalne</t>
  </si>
  <si>
    <t>Nieruchomość 03 - lokale mieszkalne</t>
  </si>
  <si>
    <t>Nieruchomość 04 - lokale mieszkalne</t>
  </si>
  <si>
    <t>Nieruchomość 06 - lokale mieszkalne</t>
  </si>
  <si>
    <t>Nieruchomość 07 - lokale mieszkalne</t>
  </si>
  <si>
    <t>Nieruchomość 08 - lokale mieszkalne</t>
  </si>
  <si>
    <t>Nieruchomość 09 - lokale mieszkalne</t>
  </si>
  <si>
    <t>Nieruchomość 018 - lokale mieszkalne</t>
  </si>
  <si>
    <t>Nieruchomość 01 - dźwigi</t>
  </si>
  <si>
    <t>Nieruchomość 03 - dźwigi</t>
  </si>
  <si>
    <t>Nieruchomość 04 - dźwigi</t>
  </si>
  <si>
    <t>Nieruchomość 06 - dźwigi</t>
  </si>
  <si>
    <t>Nieruchomość 07 - dźwigi</t>
  </si>
  <si>
    <t>Naprawa izolacji tarasów, logii, balkonów</t>
  </si>
  <si>
    <t>RAZEM WSZYSTKIE FUNDUSZE</t>
  </si>
  <si>
    <t>N06</t>
  </si>
  <si>
    <t>N07</t>
  </si>
  <si>
    <t>N09</t>
  </si>
  <si>
    <t>GARAŻE</t>
  </si>
  <si>
    <t>DŹWIGI</t>
  </si>
  <si>
    <t>MIESZKANIA</t>
  </si>
  <si>
    <t>II. NALICZENIA funduszy remontowych nieruchomości:</t>
  </si>
  <si>
    <t>Rodzaj lokali</t>
  </si>
  <si>
    <t>Adresy</t>
  </si>
  <si>
    <t>Wrzeciono 6,8,8A,10</t>
  </si>
  <si>
    <t>Szegedyńska 4,8; Wrzeciono 50</t>
  </si>
  <si>
    <t>Szegedyńska 1,5,5A; Szubińska 6; Wrzeciono 52,54A</t>
  </si>
  <si>
    <t>Marymoncka 137/139; Wrzeciono 55,55A,57,57A</t>
  </si>
  <si>
    <t>Marymoncka 129,131</t>
  </si>
  <si>
    <t>Szegedyńska 5 ; Wrzeciono 52</t>
  </si>
  <si>
    <t>Wrzeciono 57B,59,59A,59B,59C</t>
  </si>
  <si>
    <t>Szegedyńska 2,6</t>
  </si>
  <si>
    <t>Wrzeciono 10A</t>
  </si>
  <si>
    <t>Wymiana wodomiarów na radiowe</t>
  </si>
  <si>
    <t>Nieruchomość 18 - dźwigi</t>
  </si>
  <si>
    <t>IV. DODATKOWE ZASILENIA (wg stawki 4,00 zł/lok):</t>
  </si>
  <si>
    <t>Nieruchomość N01 - garaże</t>
  </si>
  <si>
    <t>Nieruchomość N04 - garaże</t>
  </si>
  <si>
    <t>Nieruchomość N06 - garaże</t>
  </si>
  <si>
    <t>Nieruchomość N02 - garaże</t>
  </si>
  <si>
    <t>V. ZASILENIE z SFR:</t>
  </si>
  <si>
    <t>VI. ŚRODKI SFR-Osiedla DO WYKORZYSTANIA (I+II+III+IV+V+VI):</t>
  </si>
  <si>
    <t>lokale użytkowe</t>
  </si>
  <si>
    <t>VI. ŚRODKI DO WYKORZYSTANIA (I+II+III+IV+V+VI):</t>
  </si>
  <si>
    <t>V. ZASILENIE NIERUCHOMOŚCI z SFR:</t>
  </si>
  <si>
    <t>690 szt</t>
  </si>
  <si>
    <t>Wrzeciono 8</t>
  </si>
  <si>
    <t>Usunięcie glonów na ścianie od strony płn.</t>
  </si>
  <si>
    <t>Wymiana pomp w hydrofornii</t>
  </si>
  <si>
    <t>Wymiana świetlika</t>
  </si>
  <si>
    <t>Nowa altanka śmietnikowa</t>
  </si>
  <si>
    <t>Docieplenie ścian szczyt. ostatnich kondygn.</t>
  </si>
  <si>
    <t xml:space="preserve"> </t>
  </si>
  <si>
    <t>PLAN RZECZOWY NA ROK 2013</t>
  </si>
  <si>
    <t>I. SALDO na dn. 01.01.2013:</t>
  </si>
  <si>
    <t>IV. SALDO DODATKOWYCH ZASILEŃ na dn. 31.12.2013:</t>
  </si>
  <si>
    <t>VI. SALDO ZASILEŃ Z SFR na dn. 31.12.2013:</t>
  </si>
  <si>
    <t>IX. SALDO NA DN. 31.12.2013 (VII-VIII):</t>
  </si>
  <si>
    <t>Remont dachu</t>
  </si>
  <si>
    <t>5 kl</t>
  </si>
  <si>
    <t>Lokale użytkowe</t>
  </si>
  <si>
    <t>Certyfikaty energetyczne</t>
  </si>
  <si>
    <t>6 bud</t>
  </si>
  <si>
    <t>3 bud.</t>
  </si>
  <si>
    <t>Certyfikty energetyczne</t>
  </si>
  <si>
    <t>1 bud.</t>
  </si>
  <si>
    <t>4 bud.</t>
  </si>
  <si>
    <t>5 bud.</t>
  </si>
  <si>
    <t>2 bud.</t>
  </si>
  <si>
    <t>Wymiana domofonów na cyfrowe</t>
  </si>
  <si>
    <t>Szegedyńska 4</t>
  </si>
  <si>
    <t>Szegedyńska 8</t>
  </si>
  <si>
    <t>Wrzeciono 57B i 59A</t>
  </si>
  <si>
    <t>13 kl</t>
  </si>
  <si>
    <t>WERSJA 1</t>
  </si>
  <si>
    <t>Szegedyńska 3A,7,9</t>
  </si>
  <si>
    <t>Marymoncka 129/131</t>
  </si>
  <si>
    <t>dokończ. z 2012</t>
  </si>
  <si>
    <t>Wrzeciono 10</t>
  </si>
  <si>
    <t>Rozbudowa instalacji monitoringu</t>
  </si>
  <si>
    <t>Roboty dekarskie</t>
  </si>
  <si>
    <t>Projekt altanki</t>
  </si>
  <si>
    <t>Remont kabiny</t>
  </si>
  <si>
    <t>Naprawa sterownika</t>
  </si>
  <si>
    <t>W55,55A,57A</t>
  </si>
  <si>
    <t>Roboty drobne</t>
  </si>
  <si>
    <t>1 szt</t>
  </si>
  <si>
    <t>W8,W10</t>
  </si>
  <si>
    <t>Udrożnienie instalacji wentylacyjnej</t>
  </si>
  <si>
    <t>Naprawa zdewastowanych drzwi</t>
  </si>
  <si>
    <t>Naprawa koła</t>
  </si>
  <si>
    <t>Ekspertyza przyczyn przecieków w halach</t>
  </si>
  <si>
    <t>Wrzeciono 57A</t>
  </si>
  <si>
    <t>Wymiana okien na klatce schodowej</t>
  </si>
  <si>
    <t>1 kl</t>
  </si>
  <si>
    <t>Remont klatek, domofony, oświetlenie</t>
  </si>
  <si>
    <t>Remont klatek, gres</t>
  </si>
  <si>
    <t>Prace różne</t>
  </si>
  <si>
    <t>Wymiana pionów wod-kan</t>
  </si>
  <si>
    <t>Prace drobne</t>
  </si>
  <si>
    <t>Remont węzłów cieplnych</t>
  </si>
  <si>
    <t>Remont węzła cieplnego</t>
  </si>
  <si>
    <t>W55, W55A</t>
  </si>
  <si>
    <t>W55A,W57</t>
  </si>
  <si>
    <t>Malowanie piwnic z remontem posadzek</t>
  </si>
  <si>
    <t>M129, 131</t>
  </si>
  <si>
    <t>Wykonanie pomieszczenia archiwum</t>
  </si>
  <si>
    <t>Wrzeciono 14A</t>
  </si>
  <si>
    <t xml:space="preserve">Schody na podwórku w lastryko, kwietniki </t>
  </si>
  <si>
    <t>Usunięcie awarii W52 inne drobne</t>
  </si>
  <si>
    <t>Szeg. 54A, Szub. 6</t>
  </si>
  <si>
    <t>Naprawa nawierzchni asfaltowej</t>
  </si>
  <si>
    <t>Wymiana grzejników na klatce</t>
  </si>
  <si>
    <t>Wrzec. 8,Wrzec.10</t>
  </si>
  <si>
    <t>Remont gazonu inne drobne</t>
  </si>
  <si>
    <t>Wymiana opraw oświetleniowych</t>
  </si>
  <si>
    <t>Wymiana wyświetlacza</t>
  </si>
  <si>
    <t>Usunięcie przecieków na klatce schodowej</t>
  </si>
  <si>
    <t>Wrzeciono 59C</t>
  </si>
  <si>
    <t>Wrz 59A, 59C</t>
  </si>
  <si>
    <t>Wrz 59,59A,59B</t>
  </si>
  <si>
    <t>Wrz. 59</t>
  </si>
  <si>
    <t>Wrz. 59A</t>
  </si>
  <si>
    <t xml:space="preserve">Wymiana falownika, </t>
  </si>
  <si>
    <t>Wrz. 59C</t>
  </si>
  <si>
    <t>Naprawa kwietnika</t>
  </si>
  <si>
    <t>W55A, W57</t>
  </si>
  <si>
    <t>Naprawa daszków w wiatrołapach</t>
  </si>
  <si>
    <t>Remony pompy</t>
  </si>
  <si>
    <t>Wymiana oprawy oświetlenia</t>
  </si>
  <si>
    <t>Wymiana luzownika</t>
  </si>
  <si>
    <t>Szeg. 5A,Wrz. 54A</t>
  </si>
  <si>
    <t>Kraty w altankach śmietnikowych</t>
  </si>
  <si>
    <t>Ogrodzenie ogródków przydomowych</t>
  </si>
  <si>
    <t>Naprawa kwietników</t>
  </si>
  <si>
    <t>Wymiana ogrodzenia ogródków przydomowych</t>
  </si>
  <si>
    <t>FUNDUSZE REMONTOWE NIERUCHOMOŚCI - WYKONANIE IV KW</t>
  </si>
  <si>
    <t>dn. 14.02.2014</t>
  </si>
  <si>
    <t>Wymiana drzwi wejściowych + okna</t>
  </si>
  <si>
    <t>Sz.5A, Sz 6, Wrz. 52</t>
  </si>
  <si>
    <t>Malowanie klatki schodowej</t>
  </si>
  <si>
    <t>Roboty dekarskie, naprawa elewacji</t>
  </si>
  <si>
    <t>Szeg.4, Szeg.8</t>
  </si>
  <si>
    <t>Wymiana pasa rynnowego od strony klatek</t>
  </si>
  <si>
    <t>Naprawa schodów do altanki śmietnikowej</t>
  </si>
  <si>
    <t>Komisja GZM</t>
  </si>
  <si>
    <t>Naprawa schodów do poczty, nawierzchnia asfalt.</t>
  </si>
  <si>
    <t>I kw 2013</t>
  </si>
  <si>
    <t>W6,W8,W8A,W10</t>
  </si>
  <si>
    <t>Inne drobne</t>
  </si>
  <si>
    <t>prace w toku</t>
  </si>
  <si>
    <t>Roboty malarskie</t>
  </si>
  <si>
    <t>Wykonanie instalacji zasilającej</t>
  </si>
  <si>
    <t>Udrożnienie filtrów wody</t>
  </si>
  <si>
    <t>Wymiana falowników</t>
  </si>
  <si>
    <t>Wymiana styczników i koła</t>
  </si>
  <si>
    <t>Naprawa przecieków ze ścian</t>
  </si>
  <si>
    <t>Marym. 137/139</t>
  </si>
  <si>
    <t>M137,W55 - 57A</t>
  </si>
  <si>
    <t>3 bud</t>
  </si>
  <si>
    <t>Montaż ogrodzenia</t>
  </si>
  <si>
    <t>Wrzeciono 10C</t>
  </si>
  <si>
    <t>Remont gabinetu zabiegowego</t>
  </si>
  <si>
    <t>Zadaszenie schodów do Przychodni</t>
  </si>
  <si>
    <t>Szeg. 8, Wrzec. 50</t>
  </si>
  <si>
    <t>Malowanie klatki schod., wylewka zejścia piwnicy</t>
  </si>
  <si>
    <t>kwota 1.258.500,00 zł zgodnie z uchwałą nr 68/2013 RN</t>
  </si>
  <si>
    <t>Remont schodów zewnętrznych w budynku</t>
  </si>
  <si>
    <t>Szeg. 1, Szeg. 52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</si>
</sst>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 style="medium"/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 style="thin"/>
    </border>
    <border>
      <left style="thin"/>
      <right style="medium"/>
      <top>
        <color indexed="63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/>
      <top>
        <color indexed="63"/>
      </top>
      <bottom style="medium"/>
    </border>
    <border>
      <left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 horizontal="right" vertical="center" wrapText="1"/>
    </xf>
    <xf numFmtId="4" fontId="1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right" vertical="center" wrapText="1"/>
    </xf>
    <xf numFmtId="4" fontId="10" fillId="0" borderId="13" xfId="0" applyNumberFormat="1" applyFont="1" applyBorder="1" applyAlignment="1">
      <alignment horizontal="right"/>
    </xf>
    <xf numFmtId="0" fontId="10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2" fontId="4" fillId="0" borderId="0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4" fillId="0" borderId="10" xfId="0" applyFont="1" applyBorder="1" applyAlignment="1">
      <alignment horizontal="center" vertical="top"/>
    </xf>
    <xf numFmtId="4" fontId="4" fillId="0" borderId="10" xfId="0" applyNumberFormat="1" applyFont="1" applyBorder="1" applyAlignment="1">
      <alignment horizontal="right" vertical="top"/>
    </xf>
    <xf numFmtId="0" fontId="4" fillId="0" borderId="1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4" fontId="4" fillId="0" borderId="11" xfId="0" applyNumberFormat="1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11" xfId="0" applyFont="1" applyBorder="1" applyAlignment="1">
      <alignment horizontal="center" vertical="top"/>
    </xf>
    <xf numFmtId="0" fontId="10" fillId="33" borderId="19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1" fillId="0" borderId="0" xfId="0" applyFont="1" applyAlignment="1">
      <alignment/>
    </xf>
    <xf numFmtId="4" fontId="4" fillId="33" borderId="10" xfId="0" applyNumberFormat="1" applyFont="1" applyFill="1" applyBorder="1" applyAlignment="1">
      <alignment horizontal="right"/>
    </xf>
    <xf numFmtId="4" fontId="10" fillId="33" borderId="1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4" fontId="4" fillId="33" borderId="20" xfId="0" applyNumberFormat="1" applyFont="1" applyFill="1" applyBorder="1" applyAlignment="1">
      <alignment horizontal="right"/>
    </xf>
    <xf numFmtId="4" fontId="4" fillId="33" borderId="21" xfId="0" applyNumberFormat="1" applyFont="1" applyFill="1" applyBorder="1" applyAlignment="1">
      <alignment horizontal="right"/>
    </xf>
    <xf numFmtId="4" fontId="4" fillId="33" borderId="22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4" fontId="5" fillId="0" borderId="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4" xfId="0" applyFont="1" applyFill="1" applyBorder="1" applyAlignment="1">
      <alignment horizontal="center" vertical="center" wrapText="1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0" fillId="0" borderId="0" xfId="0" applyFill="1" applyBorder="1" applyAlignment="1">
      <alignment wrapText="1"/>
    </xf>
    <xf numFmtId="4" fontId="4" fillId="0" borderId="11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16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right"/>
    </xf>
    <xf numFmtId="0" fontId="10" fillId="0" borderId="0" xfId="0" applyFont="1" applyFill="1" applyBorder="1" applyAlignment="1">
      <alignment/>
    </xf>
    <xf numFmtId="0" fontId="4" fillId="0" borderId="27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left"/>
    </xf>
    <xf numFmtId="0" fontId="4" fillId="0" borderId="20" xfId="0" applyFont="1" applyBorder="1" applyAlignment="1">
      <alignment horizontal="center" vertical="top"/>
    </xf>
    <xf numFmtId="0" fontId="4" fillId="0" borderId="20" xfId="0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0" fontId="4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right"/>
    </xf>
    <xf numFmtId="0" fontId="10" fillId="33" borderId="35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3" xfId="0" applyNumberFormat="1" applyFont="1" applyBorder="1" applyAlignment="1">
      <alignment horizontal="right"/>
    </xf>
    <xf numFmtId="0" fontId="4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/>
    </xf>
    <xf numFmtId="4" fontId="4" fillId="0" borderId="20" xfId="0" applyNumberFormat="1" applyFont="1" applyBorder="1" applyAlignment="1">
      <alignment horizontal="right" vertical="top"/>
    </xf>
    <xf numFmtId="0" fontId="4" fillId="0" borderId="20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top"/>
    </xf>
    <xf numFmtId="0" fontId="4" fillId="0" borderId="22" xfId="0" applyFont="1" applyBorder="1" applyAlignment="1">
      <alignment horizont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4" fillId="33" borderId="29" xfId="0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4" fontId="10" fillId="33" borderId="30" xfId="0" applyNumberFormat="1" applyFont="1" applyFill="1" applyBorder="1" applyAlignment="1">
      <alignment horizontal="right"/>
    </xf>
    <xf numFmtId="0" fontId="10" fillId="33" borderId="15" xfId="0" applyFont="1" applyFill="1" applyBorder="1" applyAlignment="1">
      <alignment horizontal="center"/>
    </xf>
    <xf numFmtId="0" fontId="4" fillId="0" borderId="38" xfId="0" applyFont="1" applyBorder="1" applyAlignment="1">
      <alignment horizontal="left" vertical="center" wrapText="1"/>
    </xf>
    <xf numFmtId="0" fontId="0" fillId="0" borderId="24" xfId="0" applyBorder="1" applyAlignment="1">
      <alignment wrapText="1"/>
    </xf>
    <xf numFmtId="4" fontId="4" fillId="33" borderId="11" xfId="0" applyNumberFormat="1" applyFont="1" applyFill="1" applyBorder="1" applyAlignment="1">
      <alignment horizontal="right"/>
    </xf>
    <xf numFmtId="0" fontId="4" fillId="0" borderId="22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right"/>
    </xf>
    <xf numFmtId="0" fontId="4" fillId="0" borderId="33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" fontId="10" fillId="0" borderId="0" xfId="0" applyNumberFormat="1" applyFont="1" applyBorder="1" applyAlignment="1" quotePrefix="1">
      <alignment horizontal="right"/>
    </xf>
    <xf numFmtId="0" fontId="4" fillId="0" borderId="17" xfId="0" applyFont="1" applyBorder="1" applyAlignment="1">
      <alignment horizontal="left" vertical="center"/>
    </xf>
    <xf numFmtId="4" fontId="0" fillId="0" borderId="0" xfId="0" applyNumberFormat="1" applyAlignment="1">
      <alignment horizontal="right"/>
    </xf>
    <xf numFmtId="4" fontId="4" fillId="0" borderId="0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0" fontId="4" fillId="0" borderId="41" xfId="0" applyFont="1" applyBorder="1" applyAlignment="1">
      <alignment horizontal="left" vertical="center" wrapText="1"/>
    </xf>
    <xf numFmtId="0" fontId="0" fillId="0" borderId="35" xfId="0" applyBorder="1" applyAlignment="1">
      <alignment wrapText="1"/>
    </xf>
    <xf numFmtId="0" fontId="4" fillId="0" borderId="30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4" fontId="4" fillId="0" borderId="30" xfId="0" applyNumberFormat="1" applyFont="1" applyBorder="1" applyAlignment="1">
      <alignment horizontal="right" vertical="center"/>
    </xf>
    <xf numFmtId="0" fontId="3" fillId="0" borderId="42" xfId="0" applyFont="1" applyBorder="1" applyAlignment="1">
      <alignment horizontal="right"/>
    </xf>
    <xf numFmtId="0" fontId="4" fillId="0" borderId="3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27" xfId="0" applyFont="1" applyBorder="1" applyAlignment="1">
      <alignment horizontal="center" vertical="center"/>
    </xf>
    <xf numFmtId="4" fontId="10" fillId="33" borderId="11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4" fillId="0" borderId="3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/>
    </xf>
    <xf numFmtId="4" fontId="10" fillId="0" borderId="10" xfId="0" applyNumberFormat="1" applyFont="1" applyBorder="1" applyAlignment="1">
      <alignment horizontal="right" vertical="top"/>
    </xf>
    <xf numFmtId="4" fontId="10" fillId="0" borderId="10" xfId="0" applyNumberFormat="1" applyFont="1" applyBorder="1" applyAlignment="1">
      <alignment horizontal="right"/>
    </xf>
    <xf numFmtId="0" fontId="10" fillId="0" borderId="11" xfId="0" applyFont="1" applyBorder="1" applyAlignment="1">
      <alignment horizontal="center"/>
    </xf>
    <xf numFmtId="0" fontId="11" fillId="0" borderId="16" xfId="0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4" fontId="10" fillId="0" borderId="11" xfId="0" applyNumberFormat="1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center" vertical="top"/>
    </xf>
    <xf numFmtId="4" fontId="10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/>
    </xf>
    <xf numFmtId="4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3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4" fillId="0" borderId="22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right" vertical="center"/>
    </xf>
    <xf numFmtId="0" fontId="10" fillId="0" borderId="22" xfId="0" applyFont="1" applyBorder="1" applyAlignment="1">
      <alignment horizontal="left" vertical="top" wrapText="1"/>
    </xf>
    <xf numFmtId="0" fontId="10" fillId="0" borderId="22" xfId="0" applyFont="1" applyBorder="1" applyAlignment="1">
      <alignment horizontal="left" vertical="center"/>
    </xf>
    <xf numFmtId="0" fontId="10" fillId="0" borderId="22" xfId="0" applyFont="1" applyBorder="1" applyAlignment="1">
      <alignment horizontal="center" vertical="top"/>
    </xf>
    <xf numFmtId="0" fontId="10" fillId="0" borderId="22" xfId="0" applyFont="1" applyBorder="1" applyAlignment="1">
      <alignment horizontal="center"/>
    </xf>
    <xf numFmtId="4" fontId="10" fillId="0" borderId="22" xfId="0" applyNumberFormat="1" applyFont="1" applyBorder="1" applyAlignment="1">
      <alignment horizontal="right" vertical="center"/>
    </xf>
    <xf numFmtId="4" fontId="10" fillId="0" borderId="22" xfId="0" applyNumberFormat="1" applyFont="1" applyBorder="1" applyAlignment="1">
      <alignment horizontal="right"/>
    </xf>
    <xf numFmtId="0" fontId="11" fillId="0" borderId="37" xfId="0" applyFont="1" applyBorder="1" applyAlignment="1">
      <alignment horizontal="right"/>
    </xf>
    <xf numFmtId="0" fontId="11" fillId="0" borderId="16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10" fillId="0" borderId="22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center" vertical="center"/>
    </xf>
    <xf numFmtId="0" fontId="11" fillId="0" borderId="37" xfId="0" applyFont="1" applyBorder="1" applyAlignment="1">
      <alignment horizontal="right" vertical="center"/>
    </xf>
    <xf numFmtId="0" fontId="11" fillId="0" borderId="24" xfId="0" applyFont="1" applyBorder="1" applyAlignment="1">
      <alignment horizontal="right"/>
    </xf>
    <xf numFmtId="0" fontId="10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center" vertical="top"/>
    </xf>
    <xf numFmtId="0" fontId="10" fillId="0" borderId="31" xfId="0" applyFont="1" applyBorder="1" applyAlignment="1">
      <alignment horizontal="center"/>
    </xf>
    <xf numFmtId="4" fontId="10" fillId="0" borderId="31" xfId="0" applyNumberFormat="1" applyFont="1" applyBorder="1" applyAlignment="1">
      <alignment horizontal="right" vertical="center"/>
    </xf>
    <xf numFmtId="0" fontId="11" fillId="0" borderId="32" xfId="0" applyFont="1" applyBorder="1" applyAlignment="1">
      <alignment horizontal="right"/>
    </xf>
    <xf numFmtId="0" fontId="10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right"/>
    </xf>
    <xf numFmtId="0" fontId="4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 wrapText="1"/>
    </xf>
    <xf numFmtId="4" fontId="10" fillId="0" borderId="13" xfId="0" applyNumberFormat="1" applyFont="1" applyBorder="1" applyAlignment="1">
      <alignment horizontal="right" vertical="center" wrapText="1"/>
    </xf>
    <xf numFmtId="4" fontId="4" fillId="0" borderId="11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 vertical="center"/>
    </xf>
    <xf numFmtId="0" fontId="10" fillId="0" borderId="30" xfId="0" applyFont="1" applyBorder="1" applyAlignment="1">
      <alignment horizontal="center" vertical="top"/>
    </xf>
    <xf numFmtId="17" fontId="10" fillId="0" borderId="10" xfId="0" applyNumberFormat="1" applyFont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0" fontId="10" fillId="0" borderId="21" xfId="0" applyFont="1" applyBorder="1" applyAlignment="1">
      <alignment horizontal="center" vertical="center"/>
    </xf>
    <xf numFmtId="4" fontId="4" fillId="0" borderId="20" xfId="0" applyNumberFormat="1" applyFont="1" applyFill="1" applyBorder="1" applyAlignment="1">
      <alignment horizontal="right"/>
    </xf>
    <xf numFmtId="4" fontId="10" fillId="0" borderId="10" xfId="0" applyNumberFormat="1" applyFont="1" applyFill="1" applyBorder="1" applyAlignment="1">
      <alignment horizontal="right"/>
    </xf>
    <xf numFmtId="0" fontId="10" fillId="0" borderId="31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right"/>
    </xf>
    <xf numFmtId="0" fontId="4" fillId="0" borderId="34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10" fillId="0" borderId="32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4" fillId="0" borderId="37" xfId="0" applyFont="1" applyBorder="1" applyAlignment="1">
      <alignment horizontal="center" vertical="top"/>
    </xf>
    <xf numFmtId="0" fontId="4" fillId="0" borderId="34" xfId="0" applyFont="1" applyBorder="1" applyAlignment="1">
      <alignment horizontal="center"/>
    </xf>
    <xf numFmtId="4" fontId="4" fillId="0" borderId="11" xfId="0" applyNumberFormat="1" applyFont="1" applyFill="1" applyBorder="1" applyAlignment="1">
      <alignment horizontal="right" vertical="center"/>
    </xf>
    <xf numFmtId="4" fontId="4" fillId="34" borderId="10" xfId="0" applyNumberFormat="1" applyFont="1" applyFill="1" applyBorder="1" applyAlignment="1">
      <alignment horizontal="right"/>
    </xf>
    <xf numFmtId="0" fontId="3" fillId="0" borderId="3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4" fontId="10" fillId="0" borderId="22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10" fillId="0" borderId="11" xfId="0" applyNumberFormat="1" applyFont="1" applyFill="1" applyBorder="1" applyAlignment="1">
      <alignment horizontal="right" vertical="center"/>
    </xf>
    <xf numFmtId="4" fontId="4" fillId="0" borderId="20" xfId="0" applyNumberFormat="1" applyFont="1" applyFill="1" applyBorder="1" applyAlignment="1">
      <alignment horizontal="right" vertical="center"/>
    </xf>
    <xf numFmtId="4" fontId="4" fillId="0" borderId="33" xfId="0" applyNumberFormat="1" applyFont="1" applyFill="1" applyBorder="1" applyAlignment="1">
      <alignment horizontal="right"/>
    </xf>
    <xf numFmtId="4" fontId="10" fillId="0" borderId="31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right" vertical="top"/>
    </xf>
    <xf numFmtId="4" fontId="4" fillId="0" borderId="20" xfId="0" applyNumberFormat="1" applyFont="1" applyFill="1" applyBorder="1" applyAlignment="1">
      <alignment horizontal="right" vertical="top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6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left" wrapText="1"/>
    </xf>
    <xf numFmtId="0" fontId="4" fillId="33" borderId="20" xfId="0" applyFont="1" applyFill="1" applyBorder="1" applyAlignment="1">
      <alignment horizontal="left" wrapText="1"/>
    </xf>
    <xf numFmtId="0" fontId="4" fillId="33" borderId="46" xfId="0" applyFont="1" applyFill="1" applyBorder="1" applyAlignment="1">
      <alignment horizontal="center" wrapText="1"/>
    </xf>
    <xf numFmtId="0" fontId="0" fillId="33" borderId="46" xfId="0" applyFill="1" applyBorder="1" applyAlignment="1">
      <alignment wrapText="1"/>
    </xf>
    <xf numFmtId="0" fontId="4" fillId="33" borderId="29" xfId="0" applyFont="1" applyFill="1" applyBorder="1" applyAlignment="1">
      <alignment horizontal="left" wrapText="1"/>
    </xf>
    <xf numFmtId="0" fontId="4" fillId="33" borderId="30" xfId="0" applyFont="1" applyFill="1" applyBorder="1" applyAlignment="1">
      <alignment horizontal="left" wrapText="1"/>
    </xf>
    <xf numFmtId="0" fontId="4" fillId="33" borderId="47" xfId="0" applyFont="1" applyFill="1" applyBorder="1" applyAlignment="1">
      <alignment horizontal="center" wrapText="1"/>
    </xf>
    <xf numFmtId="0" fontId="0" fillId="33" borderId="47" xfId="0" applyFill="1" applyBorder="1" applyAlignment="1">
      <alignment wrapText="1"/>
    </xf>
    <xf numFmtId="0" fontId="4" fillId="33" borderId="15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33" borderId="36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left" wrapText="1"/>
    </xf>
    <xf numFmtId="0" fontId="4" fillId="33" borderId="48" xfId="0" applyFont="1" applyFill="1" applyBorder="1" applyAlignment="1">
      <alignment horizontal="center" wrapText="1"/>
    </xf>
    <xf numFmtId="0" fontId="0" fillId="33" borderId="48" xfId="0" applyFill="1" applyBorder="1" applyAlignment="1">
      <alignment wrapText="1"/>
    </xf>
    <xf numFmtId="0" fontId="10" fillId="33" borderId="38" xfId="0" applyFont="1" applyFill="1" applyBorder="1" applyAlignment="1">
      <alignment horizontal="left" wrapText="1"/>
    </xf>
    <xf numFmtId="0" fontId="2" fillId="33" borderId="47" xfId="0" applyFont="1" applyFill="1" applyBorder="1" applyAlignment="1">
      <alignment wrapText="1"/>
    </xf>
    <xf numFmtId="0" fontId="2" fillId="0" borderId="47" xfId="0" applyFont="1" applyBorder="1" applyAlignment="1">
      <alignment wrapText="1"/>
    </xf>
    <xf numFmtId="0" fontId="2" fillId="0" borderId="49" xfId="0" applyFont="1" applyBorder="1" applyAlignment="1">
      <alignment wrapText="1"/>
    </xf>
    <xf numFmtId="0" fontId="4" fillId="33" borderId="50" xfId="0" applyFont="1" applyFill="1" applyBorder="1" applyAlignment="1">
      <alignment horizontal="center" wrapText="1"/>
    </xf>
    <xf numFmtId="0" fontId="2" fillId="33" borderId="50" xfId="0" applyFont="1" applyFill="1" applyBorder="1" applyAlignment="1">
      <alignment wrapText="1"/>
    </xf>
    <xf numFmtId="0" fontId="2" fillId="33" borderId="47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4" fillId="33" borderId="28" xfId="0" applyFont="1" applyFill="1" applyBorder="1" applyAlignment="1">
      <alignment horizontal="left" wrapText="1"/>
    </xf>
    <xf numFmtId="0" fontId="4" fillId="33" borderId="21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wrapText="1"/>
    </xf>
    <xf numFmtId="0" fontId="10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 wrapText="1"/>
    </xf>
    <xf numFmtId="0" fontId="10" fillId="33" borderId="47" xfId="0" applyFont="1" applyFill="1" applyBorder="1" applyAlignment="1">
      <alignment horizontal="left" wrapText="1"/>
    </xf>
    <xf numFmtId="0" fontId="4" fillId="33" borderId="51" xfId="0" applyFont="1" applyFill="1" applyBorder="1" applyAlignment="1">
      <alignment horizontal="center" wrapText="1"/>
    </xf>
    <xf numFmtId="0" fontId="2" fillId="33" borderId="51" xfId="0" applyFont="1" applyFill="1" applyBorder="1" applyAlignment="1">
      <alignment wrapText="1"/>
    </xf>
    <xf numFmtId="0" fontId="4" fillId="0" borderId="20" xfId="0" applyFont="1" applyBorder="1" applyAlignment="1">
      <alignment horizontal="left" vertical="center" wrapText="1"/>
    </xf>
    <xf numFmtId="0" fontId="0" fillId="0" borderId="34" xfId="0" applyBorder="1" applyAlignment="1">
      <alignment wrapText="1"/>
    </xf>
    <xf numFmtId="0" fontId="4" fillId="0" borderId="21" xfId="0" applyFont="1" applyBorder="1" applyAlignment="1">
      <alignment horizontal="left" vertical="center" wrapText="1"/>
    </xf>
    <xf numFmtId="0" fontId="0" fillId="0" borderId="52" xfId="0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0" fillId="0" borderId="18" xfId="0" applyBorder="1" applyAlignment="1">
      <alignment wrapText="1"/>
    </xf>
    <xf numFmtId="0" fontId="4" fillId="0" borderId="38" xfId="0" applyFont="1" applyBorder="1" applyAlignment="1">
      <alignment horizontal="left" vertical="center" wrapText="1"/>
    </xf>
    <xf numFmtId="0" fontId="0" fillId="0" borderId="24" xfId="0" applyBorder="1" applyAlignment="1">
      <alignment wrapText="1"/>
    </xf>
    <xf numFmtId="0" fontId="4" fillId="0" borderId="53" xfId="0" applyFont="1" applyBorder="1" applyAlignment="1">
      <alignment horizontal="left" vertical="center" wrapText="1"/>
    </xf>
    <xf numFmtId="0" fontId="0" fillId="0" borderId="54" xfId="0" applyBorder="1" applyAlignment="1">
      <alignment wrapText="1"/>
    </xf>
    <xf numFmtId="0" fontId="4" fillId="33" borderId="38" xfId="0" applyFont="1" applyFill="1" applyBorder="1" applyAlignment="1">
      <alignment horizontal="center" wrapText="1"/>
    </xf>
    <xf numFmtId="0" fontId="0" fillId="33" borderId="47" xfId="0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4" fontId="4" fillId="0" borderId="33" xfId="0" applyNumberFormat="1" applyFont="1" applyBorder="1" applyAlignment="1">
      <alignment horizontal="righ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4" fontId="4" fillId="0" borderId="33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zoomScale="150" zoomScaleNormal="150" zoomScalePageLayoutView="0" workbookViewId="0" topLeftCell="A11">
      <selection activeCell="G42" sqref="G42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45.00390625" style="0" customWidth="1"/>
    <col min="4" max="4" width="9.7109375" style="0" customWidth="1"/>
    <col min="5" max="5" width="7.00390625" style="0" customWidth="1"/>
    <col min="6" max="6" width="10.7109375" style="5" customWidth="1"/>
    <col min="7" max="7" width="10.57421875" style="5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0" s="10" customFormat="1" ht="11.25">
      <c r="A1" s="10" t="s">
        <v>5</v>
      </c>
      <c r="F1" s="6"/>
      <c r="G1" s="6"/>
      <c r="J1" s="10" t="s">
        <v>201</v>
      </c>
    </row>
    <row r="2" spans="6:8" s="10" customFormat="1" ht="11.25">
      <c r="F2" s="6"/>
      <c r="G2" s="6"/>
      <c r="H2" s="95" t="s">
        <v>138</v>
      </c>
    </row>
    <row r="3" spans="1:12" ht="12.75" customHeight="1">
      <c r="A3" s="253" t="s">
        <v>117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39"/>
    </row>
    <row r="4" spans="1:11" ht="12.75" customHeight="1">
      <c r="A4" s="253" t="s">
        <v>200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55" t="s">
        <v>9</v>
      </c>
      <c r="B6" s="257" t="s">
        <v>86</v>
      </c>
      <c r="C6" s="257" t="s">
        <v>87</v>
      </c>
      <c r="D6" s="257" t="s">
        <v>10</v>
      </c>
      <c r="E6" s="257" t="s">
        <v>11</v>
      </c>
      <c r="F6" s="257" t="s">
        <v>12</v>
      </c>
      <c r="G6" s="257" t="s">
        <v>13</v>
      </c>
      <c r="H6" s="257" t="s">
        <v>14</v>
      </c>
      <c r="I6" s="257" t="s">
        <v>15</v>
      </c>
      <c r="J6" s="257" t="s">
        <v>16</v>
      </c>
      <c r="K6" s="259" t="s">
        <v>2</v>
      </c>
    </row>
    <row r="7" spans="1:11" ht="13.5" thickBot="1">
      <c r="A7" s="256"/>
      <c r="B7" s="258"/>
      <c r="C7" s="258"/>
      <c r="D7" s="258"/>
      <c r="E7" s="258"/>
      <c r="F7" s="258"/>
      <c r="G7" s="258"/>
      <c r="H7" s="258"/>
      <c r="I7" s="258"/>
      <c r="J7" s="258"/>
      <c r="K7" s="260"/>
    </row>
    <row r="8" spans="1:11" ht="13.5" thickBo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ht="21" customHeight="1" thickBot="1">
      <c r="A9" s="261" t="s">
        <v>78</v>
      </c>
      <c r="B9" s="262"/>
      <c r="C9" s="262"/>
      <c r="D9" s="262"/>
      <c r="E9" s="262"/>
      <c r="F9" s="262"/>
      <c r="G9" s="262"/>
      <c r="H9" s="262"/>
      <c r="I9" s="262"/>
      <c r="J9" s="262"/>
      <c r="K9" s="263"/>
    </row>
    <row r="10" spans="1:11" s="14" customFormat="1" ht="12.75" customHeight="1" thickBot="1">
      <c r="A10" s="15"/>
      <c r="B10" s="16"/>
      <c r="C10" s="16"/>
      <c r="D10" s="17"/>
      <c r="E10" s="18"/>
      <c r="F10" s="19"/>
      <c r="G10" s="19"/>
      <c r="H10" s="11"/>
      <c r="I10" s="12"/>
      <c r="J10" s="13"/>
      <c r="K10" s="20"/>
    </row>
    <row r="11" spans="1:11" s="14" customFormat="1" ht="13.5" customHeight="1">
      <c r="A11" s="264" t="s">
        <v>118</v>
      </c>
      <c r="B11" s="265"/>
      <c r="C11" s="265"/>
      <c r="D11" s="265"/>
      <c r="E11" s="265"/>
      <c r="F11" s="45">
        <f>(SFR!F11+'N01'!F11+'N02'!F11+'N03'!F11+'N04'!F11+'N06'!F11+'N07'!F11+'N08'!F11+'N09'!F11+'N18'!F11+'GARAŻE N01'!F11+'GARAŻE N02'!F11+'GARAŻE N04'!F11+'GARAŻE N06'!F11+'DŹWIGI N01'!F11+'DŹWIGI N03'!F11+'DŹWIGI N04'!F11+'DŹWIGI N06'!F11+'DŹWIGI N07'!F11+'DŹWIGI N18'!F11)</f>
        <v>469173.48</v>
      </c>
      <c r="G11" s="45">
        <f>(SFR!G11+'N01'!G11+'N02'!G11+'N03'!G11+'N04'!G11+'N06'!G11+'N07'!G11+'N08'!G11+'N09'!G11+'N18'!G11+'GARAŻE N01'!G11+'GARAŻE N02'!G11+'GARAŻE N04'!G11+'GARAŻE N06'!G11+'DŹWIGI N01'!G11+'DŹWIGI N03'!G11+'DŹWIGI N04'!G11+'DŹWIGI N06'!G11+'DŹWIGI N07'!G11+'DŹWIGI N18'!G11)</f>
        <v>746541.75</v>
      </c>
      <c r="H11" s="266"/>
      <c r="I11" s="267"/>
      <c r="J11" s="267"/>
      <c r="K11" s="94"/>
    </row>
    <row r="12" spans="1:11" s="14" customFormat="1" ht="13.5" customHeight="1">
      <c r="A12" s="268" t="s">
        <v>85</v>
      </c>
      <c r="B12" s="269"/>
      <c r="C12" s="269"/>
      <c r="D12" s="269"/>
      <c r="E12" s="269"/>
      <c r="F12" s="42">
        <f>(SFR!F12+'N01'!F12+'N02'!F12+'N03'!F12+'N04'!F12+'N06'!F12+'N07'!F12+'N08'!F12+'N09'!F12+'N18'!F12+'GARAŻE N01'!F12+'GARAŻE N02'!F12+'GARAŻE N04'!F12+'GARAŻE N06'!F12+'DŹWIGI N01'!F12+'DŹWIGI N03'!F12+'DŹWIGI N04'!F12+'DŹWIGI N06'!F12+'DŹWIGI N07'!F12+'DŹWIGI N18'!F12)</f>
        <v>1697151.98</v>
      </c>
      <c r="G12" s="42">
        <f>(SFR!G12+'N01'!G12+'N02'!G12+'N03'!G12+'N04'!G12+'N06'!G12+'N07'!G12+'N08'!G12+'N09'!G12+'N18'!G12+'GARAŻE N01'!G12+'GARAŻE N02'!G12+'GARAŻE N04'!G12+'GARAŻE N06'!G12+'DŹWIGI N01'!G12+'DŹWIGI N03'!G12+'DŹWIGI N04'!G12+'DŹWIGI N06'!G12+'DŹWIGI N07'!G12+'DŹWIGI N18'!G12)</f>
        <v>1730009.67</v>
      </c>
      <c r="H12" s="270"/>
      <c r="I12" s="271"/>
      <c r="J12" s="271"/>
      <c r="K12" s="55"/>
    </row>
    <row r="13" spans="1:11" s="41" customFormat="1" ht="12.75" customHeight="1">
      <c r="A13" s="272" t="s">
        <v>62</v>
      </c>
      <c r="B13" s="273"/>
      <c r="C13" s="273"/>
      <c r="D13" s="273"/>
      <c r="E13" s="273"/>
      <c r="F13" s="42">
        <v>50890.2</v>
      </c>
      <c r="G13" s="42">
        <f>(SFR!G13)</f>
        <v>64376.6</v>
      </c>
      <c r="H13" s="270"/>
      <c r="I13" s="271"/>
      <c r="J13" s="271"/>
      <c r="K13" s="55"/>
    </row>
    <row r="14" spans="1:11" s="41" customFormat="1" ht="12.75" customHeight="1">
      <c r="A14" s="272" t="s">
        <v>119</v>
      </c>
      <c r="B14" s="273"/>
      <c r="C14" s="273"/>
      <c r="D14" s="273"/>
      <c r="E14" s="273"/>
      <c r="F14" s="42">
        <f>(SFR!F14+'N01'!F14+'N02'!F14+'N03'!F14+'N04'!F14+'N06'!F14+'N07'!F14+'N08'!F14+'N09'!F14+'N18'!F14+'GARAŻE N01'!F14+'GARAŻE N02'!F14+'GARAŻE N04'!F14+'GARAŻE N06'!F14+'DŹWIGI N01'!F14+'DŹWIGI N03'!F14+'DŹWIGI N04'!F14+'DŹWIGI N06'!F14+'DŹWIGI N07'!F14+'DŹWIGI N18'!F14)</f>
        <v>223440</v>
      </c>
      <c r="G14" s="42">
        <f>(SFR!G14+'N01'!G14+'N02'!G14+'N03'!G14+'N04'!G14+'N06'!G14+'N07'!G14+'N08'!G14+'N09'!G14+'N18'!G14+'GARAŻE N01'!G14+'GARAŻE N02'!G14+'GARAŻE N04'!G14+'GARAŻE N06'!G14+'DŹWIGI N01'!G14+'DŹWIGI N03'!G14+'DŹWIGI N04'!G14+'DŹWIGI N06'!G14+'DŹWIGI N07'!G14+'DŹWIGI N18'!G14)</f>
        <v>1469527.7100000004</v>
      </c>
      <c r="H14" s="270"/>
      <c r="I14" s="271"/>
      <c r="J14" s="271"/>
      <c r="K14" s="55"/>
    </row>
    <row r="15" spans="1:11" s="14" customFormat="1" ht="13.5" customHeight="1">
      <c r="A15" s="268" t="s">
        <v>120</v>
      </c>
      <c r="B15" s="269"/>
      <c r="C15" s="269"/>
      <c r="D15" s="269"/>
      <c r="E15" s="269"/>
      <c r="F15" s="42">
        <f>(SFR!F15+'N01'!F15+'N02'!F15+'N03'!F15+'N04'!F15+'N06'!F15+'N07'!F15+'N08'!F15+'N09'!F15+'N18'!F15+'GARAŻE N01'!F15+'GARAŻE N02'!F15+'GARAŻE N04'!F15+'GARAŻE N06'!F15+'DŹWIGI N01'!F15+'DŹWIGI N03'!F15+'DŹWIGI N04'!F15+'DŹWIGI N06'!F15+'DŹWIGI N07'!F15)</f>
        <v>0</v>
      </c>
      <c r="G15" s="42">
        <f>(SFR!G15+'N01'!G15+'N02'!G15+'N03'!G15+'N04'!G15+'N06'!G15+'N07'!G15+'N08'!G15+'N09'!G15+'N18'!G15+'GARAŻE N01'!G15+'GARAŻE N02'!G15+'GARAŻE N04'!G15+'GARAŻE N06'!G15+'DŹWIGI N01'!G15+'DŹWIGI N03'!G15+'DŹWIGI N04'!G15+'DŹWIGI N06'!G15+'DŹWIGI N07'!G15)</f>
        <v>0</v>
      </c>
      <c r="H15" s="270"/>
      <c r="I15" s="271"/>
      <c r="J15" s="271"/>
      <c r="K15" s="55"/>
    </row>
    <row r="16" spans="1:11" s="40" customFormat="1" ht="12.75" customHeight="1" thickBot="1">
      <c r="A16" s="287" t="s">
        <v>54</v>
      </c>
      <c r="B16" s="288"/>
      <c r="C16" s="288"/>
      <c r="D16" s="288"/>
      <c r="E16" s="288"/>
      <c r="F16" s="46">
        <f>F11+F12+F13+F14+F15</f>
        <v>2440655.66</v>
      </c>
      <c r="G16" s="46">
        <f>G11+G12+G13+G14+G15</f>
        <v>4010455.7300000004</v>
      </c>
      <c r="H16" s="276"/>
      <c r="I16" s="277"/>
      <c r="J16" s="277"/>
      <c r="K16" s="56"/>
    </row>
    <row r="17" spans="1:11" s="86" customFormat="1" ht="13.5" customHeight="1" thickBot="1">
      <c r="A17" s="58"/>
      <c r="B17" s="58"/>
      <c r="C17" s="58"/>
      <c r="D17" s="58"/>
      <c r="E17" s="58"/>
      <c r="F17" s="59"/>
      <c r="G17" s="60"/>
      <c r="H17" s="61"/>
      <c r="I17" s="64"/>
      <c r="J17" s="64"/>
      <c r="K17" s="62"/>
    </row>
    <row r="18" spans="1:11" ht="12.75">
      <c r="A18" s="69" t="s">
        <v>39</v>
      </c>
      <c r="B18" s="123" t="s">
        <v>84</v>
      </c>
      <c r="C18" s="122" t="s">
        <v>106</v>
      </c>
      <c r="D18" s="71"/>
      <c r="E18" s="70"/>
      <c r="F18" s="45">
        <f>SFR!F35</f>
        <v>30000</v>
      </c>
      <c r="G18" s="45">
        <f>SFR!G35</f>
        <v>22149.489999999998</v>
      </c>
      <c r="H18" s="70"/>
      <c r="I18" s="70"/>
      <c r="J18" s="296"/>
      <c r="K18" s="297"/>
    </row>
    <row r="19" spans="1:11" ht="12.75">
      <c r="A19" s="73" t="s">
        <v>27</v>
      </c>
      <c r="B19" s="68" t="s">
        <v>84</v>
      </c>
      <c r="C19" s="52" t="s">
        <v>90</v>
      </c>
      <c r="D19" s="68"/>
      <c r="E19" s="52"/>
      <c r="F19" s="42">
        <f>'N01'!F35</f>
        <v>529000</v>
      </c>
      <c r="G19" s="42">
        <f>'N01'!G35</f>
        <v>482373.56000000006</v>
      </c>
      <c r="H19" s="52"/>
      <c r="I19" s="52"/>
      <c r="J19" s="285"/>
      <c r="K19" s="286"/>
    </row>
    <row r="20" spans="1:11" ht="12.75">
      <c r="A20" s="73" t="s">
        <v>28</v>
      </c>
      <c r="B20" s="68" t="s">
        <v>84</v>
      </c>
      <c r="C20" s="52" t="s">
        <v>89</v>
      </c>
      <c r="D20" s="68"/>
      <c r="E20" s="52"/>
      <c r="F20" s="42">
        <f>'N02'!F35</f>
        <v>90000</v>
      </c>
      <c r="G20" s="42">
        <f>'N02'!G35</f>
        <v>120556.36</v>
      </c>
      <c r="H20" s="52"/>
      <c r="I20" s="52"/>
      <c r="J20" s="285"/>
      <c r="K20" s="286"/>
    </row>
    <row r="21" spans="1:11" ht="12.75">
      <c r="A21" s="73" t="s">
        <v>30</v>
      </c>
      <c r="B21" s="68" t="s">
        <v>84</v>
      </c>
      <c r="C21" s="52" t="s">
        <v>18</v>
      </c>
      <c r="D21" s="68"/>
      <c r="E21" s="52"/>
      <c r="F21" s="42">
        <f>'N03'!F35</f>
        <v>112000</v>
      </c>
      <c r="G21" s="42">
        <f>'N03'!G35</f>
        <v>93249.46</v>
      </c>
      <c r="H21" s="52"/>
      <c r="I21" s="52"/>
      <c r="J21" s="285"/>
      <c r="K21" s="286"/>
    </row>
    <row r="22" spans="1:11" ht="12.75">
      <c r="A22" s="73" t="s">
        <v>29</v>
      </c>
      <c r="B22" s="68" t="s">
        <v>84</v>
      </c>
      <c r="C22" s="52" t="s">
        <v>88</v>
      </c>
      <c r="D22" s="68"/>
      <c r="E22" s="52"/>
      <c r="F22" s="42">
        <f>'N04'!F35</f>
        <v>403000</v>
      </c>
      <c r="G22" s="42">
        <f>'N04'!G35</f>
        <v>484997.05999999994</v>
      </c>
      <c r="H22" s="52"/>
      <c r="I22" s="52"/>
      <c r="J22" s="285"/>
      <c r="K22" s="286"/>
    </row>
    <row r="23" spans="1:11" ht="12.75">
      <c r="A23" s="73" t="s">
        <v>79</v>
      </c>
      <c r="B23" s="68" t="s">
        <v>84</v>
      </c>
      <c r="C23" s="52" t="s">
        <v>94</v>
      </c>
      <c r="D23" s="68"/>
      <c r="E23" s="52"/>
      <c r="F23" s="42">
        <f>'N06'!F35</f>
        <v>250000</v>
      </c>
      <c r="G23" s="42">
        <f>'N06'!G35</f>
        <v>65499.409999999996</v>
      </c>
      <c r="H23" s="52"/>
      <c r="I23" s="52"/>
      <c r="J23" s="285"/>
      <c r="K23" s="286"/>
    </row>
    <row r="24" spans="1:11" ht="12.75">
      <c r="A24" s="73" t="s">
        <v>80</v>
      </c>
      <c r="B24" s="68" t="s">
        <v>84</v>
      </c>
      <c r="C24" s="52" t="s">
        <v>25</v>
      </c>
      <c r="D24" s="68"/>
      <c r="E24" s="52"/>
      <c r="F24" s="42">
        <f>'N07'!F35</f>
        <v>82000</v>
      </c>
      <c r="G24" s="42">
        <f>'N07'!G35</f>
        <v>51830.81</v>
      </c>
      <c r="H24" s="52"/>
      <c r="I24" s="52"/>
      <c r="J24" s="285"/>
      <c r="K24" s="286"/>
    </row>
    <row r="25" spans="1:11" ht="12.75">
      <c r="A25" s="73" t="s">
        <v>46</v>
      </c>
      <c r="B25" s="68" t="s">
        <v>84</v>
      </c>
      <c r="C25" s="22" t="s">
        <v>91</v>
      </c>
      <c r="D25" s="68"/>
      <c r="E25" s="52"/>
      <c r="F25" s="42">
        <f>'N08'!F35</f>
        <v>210000</v>
      </c>
      <c r="G25" s="42">
        <f>'N08'!G35</f>
        <v>256179.47</v>
      </c>
      <c r="H25" s="52"/>
      <c r="I25" s="52"/>
      <c r="J25" s="285"/>
      <c r="K25" s="286"/>
    </row>
    <row r="26" spans="1:11" ht="12.75">
      <c r="A26" s="73" t="s">
        <v>81</v>
      </c>
      <c r="B26" s="68" t="s">
        <v>84</v>
      </c>
      <c r="C26" s="22" t="s">
        <v>92</v>
      </c>
      <c r="D26" s="68"/>
      <c r="E26" s="52"/>
      <c r="F26" s="42">
        <f>'N09'!F35</f>
        <v>59000</v>
      </c>
      <c r="G26" s="42">
        <f>'N09'!G35</f>
        <v>34980.37</v>
      </c>
      <c r="H26" s="52"/>
      <c r="I26" s="52"/>
      <c r="J26" s="285"/>
      <c r="K26" s="286"/>
    </row>
    <row r="27" spans="1:11" ht="12.75">
      <c r="A27" s="73" t="s">
        <v>47</v>
      </c>
      <c r="B27" s="124" t="s">
        <v>84</v>
      </c>
      <c r="C27" s="52" t="s">
        <v>20</v>
      </c>
      <c r="D27" s="68"/>
      <c r="E27" s="52"/>
      <c r="F27" s="42">
        <f>'N18'!F35</f>
        <v>82000</v>
      </c>
      <c r="G27" s="42">
        <f>'N18'!G35</f>
        <v>43378.46</v>
      </c>
      <c r="H27" s="52"/>
      <c r="I27" s="52"/>
      <c r="J27" s="285"/>
      <c r="K27" s="286"/>
    </row>
    <row r="28" spans="1:11" ht="12.75">
      <c r="A28" s="73" t="s">
        <v>27</v>
      </c>
      <c r="B28" s="68" t="s">
        <v>82</v>
      </c>
      <c r="C28" s="52" t="s">
        <v>139</v>
      </c>
      <c r="D28" s="68"/>
      <c r="E28" s="52"/>
      <c r="F28" s="42">
        <f>'GARAŻE N01'!F35</f>
        <v>15000</v>
      </c>
      <c r="G28" s="42">
        <f>'GARAŻE N01'!G35</f>
        <v>450</v>
      </c>
      <c r="H28" s="52"/>
      <c r="I28" s="52"/>
      <c r="J28" s="285"/>
      <c r="K28" s="286"/>
    </row>
    <row r="29" spans="1:11" ht="12.75">
      <c r="A29" s="73" t="s">
        <v>28</v>
      </c>
      <c r="B29" s="68" t="s">
        <v>82</v>
      </c>
      <c r="C29" s="52" t="s">
        <v>95</v>
      </c>
      <c r="D29" s="68"/>
      <c r="E29" s="52"/>
      <c r="F29" s="42">
        <f>'GARAŻE N02'!F35</f>
        <v>0</v>
      </c>
      <c r="G29" s="42">
        <f>'GARAŻE N02'!G35</f>
        <v>0</v>
      </c>
      <c r="H29" s="52"/>
      <c r="I29" s="52"/>
      <c r="J29" s="285"/>
      <c r="K29" s="286"/>
    </row>
    <row r="30" spans="1:11" ht="12.75">
      <c r="A30" s="73" t="s">
        <v>29</v>
      </c>
      <c r="B30" s="68" t="s">
        <v>82</v>
      </c>
      <c r="C30" s="52" t="s">
        <v>96</v>
      </c>
      <c r="D30" s="68"/>
      <c r="E30" s="52"/>
      <c r="F30" s="42">
        <f>'GARAŻE N04'!F35</f>
        <v>1000</v>
      </c>
      <c r="G30" s="42">
        <f>'GARAŻE N04'!G35</f>
        <v>1746.54</v>
      </c>
      <c r="H30" s="52"/>
      <c r="I30" s="52"/>
      <c r="J30" s="285"/>
      <c r="K30" s="286"/>
    </row>
    <row r="31" spans="1:11" ht="12.75">
      <c r="A31" s="73" t="s">
        <v>79</v>
      </c>
      <c r="B31" s="68" t="s">
        <v>82</v>
      </c>
      <c r="C31" s="52" t="s">
        <v>94</v>
      </c>
      <c r="D31" s="68"/>
      <c r="E31" s="52"/>
      <c r="F31" s="42">
        <f>'GARAŻE N06'!F35</f>
        <v>10000</v>
      </c>
      <c r="G31" s="42">
        <f>'GARAŻE N06'!G35</f>
        <v>14000</v>
      </c>
      <c r="H31" s="52"/>
      <c r="I31" s="52"/>
      <c r="J31" s="285"/>
      <c r="K31" s="286"/>
    </row>
    <row r="32" spans="1:11" ht="12.75">
      <c r="A32" s="73" t="s">
        <v>27</v>
      </c>
      <c r="B32" s="68" t="s">
        <v>83</v>
      </c>
      <c r="C32" s="52" t="s">
        <v>93</v>
      </c>
      <c r="D32" s="68"/>
      <c r="E32" s="52"/>
      <c r="F32" s="42">
        <f>'DŹWIGI N01'!F35</f>
        <v>20000</v>
      </c>
      <c r="G32" s="42">
        <f>'DŹWIGI N01'!G35</f>
        <v>0</v>
      </c>
      <c r="H32" s="52"/>
      <c r="I32" s="52"/>
      <c r="J32" s="285"/>
      <c r="K32" s="286"/>
    </row>
    <row r="33" spans="1:11" ht="12.75">
      <c r="A33" s="73" t="s">
        <v>30</v>
      </c>
      <c r="B33" s="68" t="s">
        <v>83</v>
      </c>
      <c r="C33" s="52" t="s">
        <v>18</v>
      </c>
      <c r="D33" s="68"/>
      <c r="E33" s="52"/>
      <c r="F33" s="42">
        <f>'DŹWIGI N03'!F35</f>
        <v>10000</v>
      </c>
      <c r="G33" s="42">
        <f>'DŹWIGI N03'!G35</f>
        <v>141.8</v>
      </c>
      <c r="H33" s="52"/>
      <c r="I33" s="52"/>
      <c r="J33" s="285"/>
      <c r="K33" s="286"/>
    </row>
    <row r="34" spans="1:11" ht="12.75">
      <c r="A34" s="73" t="s">
        <v>29</v>
      </c>
      <c r="B34" s="68" t="s">
        <v>83</v>
      </c>
      <c r="C34" s="52" t="s">
        <v>40</v>
      </c>
      <c r="D34" s="68"/>
      <c r="E34" s="52"/>
      <c r="F34" s="42">
        <f>'DŹWIGI N04'!F35</f>
        <v>10000</v>
      </c>
      <c r="G34" s="42">
        <f>'DŹWIGI N04'!G35</f>
        <v>727.56</v>
      </c>
      <c r="H34" s="52"/>
      <c r="I34" s="52"/>
      <c r="J34" s="285"/>
      <c r="K34" s="286"/>
    </row>
    <row r="35" spans="1:11" ht="12.75">
      <c r="A35" s="73" t="s">
        <v>79</v>
      </c>
      <c r="B35" s="68" t="s">
        <v>83</v>
      </c>
      <c r="C35" s="52" t="s">
        <v>94</v>
      </c>
      <c r="D35" s="68"/>
      <c r="E35" s="52"/>
      <c r="F35" s="42">
        <f>'DŹWIGI N06'!F35</f>
        <v>25000</v>
      </c>
      <c r="G35" s="42">
        <f>'DŹWIGI N06'!G35</f>
        <v>53854.85</v>
      </c>
      <c r="H35" s="52"/>
      <c r="I35" s="52"/>
      <c r="J35" s="285"/>
      <c r="K35" s="286"/>
    </row>
    <row r="36" spans="1:11" ht="12.75">
      <c r="A36" s="136" t="s">
        <v>80</v>
      </c>
      <c r="B36" s="127" t="s">
        <v>83</v>
      </c>
      <c r="C36" s="53" t="s">
        <v>25</v>
      </c>
      <c r="D36" s="127"/>
      <c r="E36" s="53"/>
      <c r="F36" s="118">
        <f>'DŹWIGI N07'!F35</f>
        <v>10000</v>
      </c>
      <c r="G36" s="118">
        <f>'DŹWIGI N07'!G35</f>
        <v>3907.9700000000003</v>
      </c>
      <c r="H36" s="53"/>
      <c r="I36" s="53"/>
      <c r="J36" s="300"/>
      <c r="K36" s="301"/>
    </row>
    <row r="37" spans="1:11" ht="13.5" thickBot="1">
      <c r="A37" s="74" t="s">
        <v>47</v>
      </c>
      <c r="B37" s="76" t="s">
        <v>83</v>
      </c>
      <c r="C37" s="75" t="s">
        <v>20</v>
      </c>
      <c r="D37" s="76"/>
      <c r="E37" s="75"/>
      <c r="F37" s="46">
        <f>'DŹWIGI N18'!F35</f>
        <v>10000</v>
      </c>
      <c r="G37" s="46">
        <f>'DŹWIGI N18'!G35</f>
        <v>70.89</v>
      </c>
      <c r="H37" s="75"/>
      <c r="I37" s="75"/>
      <c r="J37" s="298"/>
      <c r="K37" s="299"/>
    </row>
    <row r="38" spans="1:11" ht="13.5" thickBot="1">
      <c r="A38" s="79"/>
      <c r="B38" s="80"/>
      <c r="C38" s="44"/>
      <c r="D38" s="81"/>
      <c r="E38" s="21"/>
      <c r="F38" s="77"/>
      <c r="G38" s="37"/>
      <c r="H38" s="21"/>
      <c r="I38" s="21"/>
      <c r="J38" s="81"/>
      <c r="K38" s="48"/>
    </row>
    <row r="39" spans="1:11" s="14" customFormat="1" ht="13.5" customHeight="1">
      <c r="A39" s="264" t="s">
        <v>53</v>
      </c>
      <c r="B39" s="265"/>
      <c r="C39" s="265"/>
      <c r="D39" s="265"/>
      <c r="E39" s="265"/>
      <c r="F39" s="45">
        <f>(SFR!F35+'N01'!F35+'N02'!F35+'N03'!F35+'N04'!F35+'N06'!F35+'N07'!F35+'N08'!F35+'N09'!F35+'N18'!F35+'GARAŻE N01'!F35+'GARAŻE N02'!F35+'GARAŻE N04'!F35+'GARAŻE N06'!F35+'DŹWIGI N01'!F35+'DŹWIGI N03'!F35+'DŹWIGI N04'!F35+'DŹWIGI N06'!F35+'DŹWIGI N07'!F35+'DŹWIGI N18'!F35)</f>
        <v>1958000</v>
      </c>
      <c r="G39" s="45">
        <f>(SFR!G35+'N01'!G35+'N02'!G35+'N03'!G35+'N04'!G35+'N06'!G35+'N07'!G35+'N08'!G35+'N09'!G35+'N18'!G35+'GARAŻE N01'!G35+'GARAŻE N02'!G35+'GARAŻE N04'!G35+'GARAŻE N06'!G35+'DŹWIGI N01'!G35+'DŹWIGI N03'!G35+'DŹWIGI N04'!G35+'DŹWIGI N06'!G35+'DŹWIGI N07'!G35+'DŹWIGI N18'!G35)</f>
        <v>1730094.06</v>
      </c>
      <c r="H39" s="266"/>
      <c r="I39" s="267"/>
      <c r="J39" s="267"/>
      <c r="K39" s="94"/>
    </row>
    <row r="40" spans="1:11" s="14" customFormat="1" ht="13.5" customHeight="1">
      <c r="A40" s="112"/>
      <c r="B40" s="278" t="s">
        <v>24</v>
      </c>
      <c r="C40" s="279"/>
      <c r="D40" s="280"/>
      <c r="E40" s="281"/>
      <c r="F40" s="113"/>
      <c r="G40" s="113"/>
      <c r="H40" s="282"/>
      <c r="I40" s="283"/>
      <c r="J40" s="283"/>
      <c r="K40" s="54"/>
    </row>
    <row r="41" spans="1:11" s="14" customFormat="1" ht="13.5" customHeight="1">
      <c r="A41" s="112"/>
      <c r="B41" s="278" t="s">
        <v>116</v>
      </c>
      <c r="C41" s="284"/>
      <c r="D41" s="280"/>
      <c r="E41" s="281"/>
      <c r="F41" s="149"/>
      <c r="G41" s="149"/>
      <c r="H41" s="270"/>
      <c r="I41" s="279"/>
      <c r="J41" s="279"/>
      <c r="K41" s="55"/>
    </row>
    <row r="42" spans="1:11" s="14" customFormat="1" ht="13.5" customHeight="1">
      <c r="A42" s="115"/>
      <c r="B42" s="278" t="s">
        <v>4</v>
      </c>
      <c r="C42" s="293"/>
      <c r="D42" s="280"/>
      <c r="E42" s="281"/>
      <c r="F42" s="150">
        <f>(SFR!F38+'N01'!F38+'N02'!F38+'N03'!F38+'N04'!F38+'N06'!F38+'N07'!F38+'N08'!F38+'N09'!F38+'N18'!F38+'GARAŻE N01'!F38+'GARAŻE N02'!F38+'GARAŻE N04'!F38+'GARAŻE N06'!F38+'DŹWIGI N01'!F38+'DŹWIGI N03'!F38+'DŹWIGI N04'!F38+'DŹWIGI N06'!F38+'DŹWIGI N07'!F38+'DŹWIGI N18'!F38)</f>
        <v>396000</v>
      </c>
      <c r="G42" s="150">
        <f>(SFR!G38+'N01'!G38+'N02'!G38+'N03'!G38+'N04'!G38+'N06'!G38+'N07'!G38+'N08'!G38+'N09'!G38+'N18'!G38+'GARAŻE N01'!G38+'GARAŻE N02'!G38+'GARAŻE N04'!G38+'GARAŻE N06'!G38+'DŹWIGI N01'!G38+'DŹWIGI N03'!G38+'DŹWIGI N04'!G38+'DŹWIGI N06'!G38+'DŹWIGI N07'!G38+'DŹWIGI N18'!G38)</f>
        <v>226575.29</v>
      </c>
      <c r="H42" s="294"/>
      <c r="I42" s="295"/>
      <c r="J42" s="295"/>
      <c r="K42" s="57"/>
    </row>
    <row r="43" spans="1:11" s="14" customFormat="1" ht="13.5" customHeight="1">
      <c r="A43" s="115"/>
      <c r="B43" s="291" t="s">
        <v>3</v>
      </c>
      <c r="C43" s="291"/>
      <c r="D43" s="292"/>
      <c r="E43" s="292"/>
      <c r="F43" s="43">
        <f>F39-F41-F42</f>
        <v>1562000</v>
      </c>
      <c r="G43" s="43">
        <f>G39-G41-G42</f>
        <v>1503518.77</v>
      </c>
      <c r="H43" s="289"/>
      <c r="I43" s="290"/>
      <c r="J43" s="290"/>
      <c r="K43" s="36"/>
    </row>
    <row r="44" spans="1:11" s="14" customFormat="1" ht="13.5" customHeight="1" thickBot="1">
      <c r="A44" s="274" t="s">
        <v>121</v>
      </c>
      <c r="B44" s="275"/>
      <c r="C44" s="275"/>
      <c r="D44" s="275"/>
      <c r="E44" s="275"/>
      <c r="F44" s="47">
        <f>F16-F39</f>
        <v>482655.66000000015</v>
      </c>
      <c r="G44" s="47">
        <f>G16-G39</f>
        <v>2280361.6700000004</v>
      </c>
      <c r="H44" s="276"/>
      <c r="I44" s="277"/>
      <c r="J44" s="277"/>
      <c r="K44" s="56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  <row r="63" ht="12.75">
      <c r="K63" s="1"/>
    </row>
    <row r="64" ht="12.75">
      <c r="K64" s="1"/>
    </row>
    <row r="65" ht="12.75">
      <c r="K65" s="1"/>
    </row>
  </sheetData>
  <sheetProtection/>
  <mergeCells count="58">
    <mergeCell ref="J34:K34"/>
    <mergeCell ref="J35:K35"/>
    <mergeCell ref="J37:K37"/>
    <mergeCell ref="J30:K30"/>
    <mergeCell ref="J31:K31"/>
    <mergeCell ref="J32:K32"/>
    <mergeCell ref="J33:K33"/>
    <mergeCell ref="J36:K36"/>
    <mergeCell ref="J21:K21"/>
    <mergeCell ref="J19:K19"/>
    <mergeCell ref="J18:K18"/>
    <mergeCell ref="J28:K28"/>
    <mergeCell ref="J22:K22"/>
    <mergeCell ref="J26:K26"/>
    <mergeCell ref="J25:K25"/>
    <mergeCell ref="J24:K24"/>
    <mergeCell ref="J23:K23"/>
    <mergeCell ref="J29:K29"/>
    <mergeCell ref="A16:E16"/>
    <mergeCell ref="H16:J16"/>
    <mergeCell ref="H43:J43"/>
    <mergeCell ref="H41:J41"/>
    <mergeCell ref="B43:E43"/>
    <mergeCell ref="J20:K20"/>
    <mergeCell ref="J27:K27"/>
    <mergeCell ref="B42:E42"/>
    <mergeCell ref="H42:J42"/>
    <mergeCell ref="A44:E44"/>
    <mergeCell ref="H44:J44"/>
    <mergeCell ref="A39:E39"/>
    <mergeCell ref="H39:J39"/>
    <mergeCell ref="B40:E40"/>
    <mergeCell ref="H40:J40"/>
    <mergeCell ref="B41:E41"/>
    <mergeCell ref="A12:E12"/>
    <mergeCell ref="H12:J12"/>
    <mergeCell ref="A15:E15"/>
    <mergeCell ref="H15:J15"/>
    <mergeCell ref="A13:E13"/>
    <mergeCell ref="H13:J13"/>
    <mergeCell ref="A14:E14"/>
    <mergeCell ref="H14:J14"/>
    <mergeCell ref="I6:I7"/>
    <mergeCell ref="J6:J7"/>
    <mergeCell ref="K6:K7"/>
    <mergeCell ref="A9:K9"/>
    <mergeCell ref="A11:E11"/>
    <mergeCell ref="H11:J11"/>
    <mergeCell ref="A3:K3"/>
    <mergeCell ref="A4:K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" right="0" top="0" bottom="0" header="0" footer="0"/>
  <pageSetup horizontalDpi="600" verticalDpi="600" orientation="landscape" paperSize="9" scale="9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63"/>
  <sheetViews>
    <sheetView zoomScale="150" zoomScaleNormal="150" zoomScalePageLayoutView="0" workbookViewId="0" topLeftCell="A11">
      <selection activeCell="G21" sqref="G21:G24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7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201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138</v>
      </c>
      <c r="I2" s="10"/>
      <c r="J2" s="10"/>
      <c r="K2" s="10"/>
    </row>
    <row r="3" spans="1:12" ht="12.75" customHeight="1">
      <c r="A3" s="253" t="s">
        <v>117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39"/>
    </row>
    <row r="4" spans="1:11" ht="12.75" customHeight="1">
      <c r="A4" s="253" t="s">
        <v>200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55" t="s">
        <v>9</v>
      </c>
      <c r="B6" s="257" t="s">
        <v>0</v>
      </c>
      <c r="C6" s="257" t="s">
        <v>1</v>
      </c>
      <c r="D6" s="257" t="s">
        <v>10</v>
      </c>
      <c r="E6" s="257" t="s">
        <v>11</v>
      </c>
      <c r="F6" s="257" t="s">
        <v>12</v>
      </c>
      <c r="G6" s="311" t="s">
        <v>13</v>
      </c>
      <c r="H6" s="257" t="s">
        <v>14</v>
      </c>
      <c r="I6" s="257" t="s">
        <v>15</v>
      </c>
      <c r="J6" s="257" t="s">
        <v>16</v>
      </c>
      <c r="K6" s="259" t="s">
        <v>2</v>
      </c>
    </row>
    <row r="7" spans="1:11" ht="13.5" thickBot="1">
      <c r="A7" s="256"/>
      <c r="B7" s="258"/>
      <c r="C7" s="258"/>
      <c r="D7" s="258"/>
      <c r="E7" s="258"/>
      <c r="F7" s="258"/>
      <c r="G7" s="312"/>
      <c r="H7" s="258"/>
      <c r="I7" s="258"/>
      <c r="J7" s="258"/>
      <c r="K7" s="260"/>
    </row>
    <row r="8" spans="1:11" ht="13.5" thickBot="1">
      <c r="A8" s="38"/>
      <c r="B8" s="38"/>
      <c r="C8" s="38"/>
      <c r="D8" s="38"/>
      <c r="E8" s="38"/>
      <c r="F8" s="38"/>
      <c r="G8" s="138"/>
      <c r="H8" s="38"/>
      <c r="I8" s="38"/>
      <c r="J8" s="38"/>
      <c r="K8" s="38"/>
    </row>
    <row r="9" spans="1:11" ht="21" customHeight="1" thickBot="1">
      <c r="A9" s="261" t="s">
        <v>70</v>
      </c>
      <c r="B9" s="262"/>
      <c r="C9" s="262"/>
      <c r="D9" s="262"/>
      <c r="E9" s="262"/>
      <c r="F9" s="262"/>
      <c r="G9" s="262"/>
      <c r="H9" s="262"/>
      <c r="I9" s="262"/>
      <c r="J9" s="262"/>
      <c r="K9" s="263"/>
    </row>
    <row r="10" spans="1:11" s="14" customFormat="1" ht="12.75" customHeight="1">
      <c r="A10" s="15"/>
      <c r="B10" s="16"/>
      <c r="C10" s="16" t="s">
        <v>17</v>
      </c>
      <c r="D10" s="17">
        <v>3673.8</v>
      </c>
      <c r="E10" s="18" t="s">
        <v>6</v>
      </c>
      <c r="F10" s="19"/>
      <c r="G10" s="139"/>
      <c r="H10" s="11" t="s">
        <v>8</v>
      </c>
      <c r="I10" s="12">
        <v>1.2</v>
      </c>
      <c r="J10" s="13" t="s">
        <v>7</v>
      </c>
      <c r="K10" s="20"/>
    </row>
    <row r="11" spans="1:11" s="14" customFormat="1" ht="13.5" customHeight="1">
      <c r="A11" s="272" t="s">
        <v>118</v>
      </c>
      <c r="B11" s="273"/>
      <c r="C11" s="273"/>
      <c r="D11" s="273"/>
      <c r="E11" s="273"/>
      <c r="F11" s="42">
        <v>18241.51</v>
      </c>
      <c r="G11" s="42">
        <v>-1485.09</v>
      </c>
      <c r="H11" s="270"/>
      <c r="I11" s="271"/>
      <c r="J11" s="271"/>
      <c r="K11" s="55"/>
    </row>
    <row r="12" spans="1:11" s="14" customFormat="1" ht="13.5" customHeight="1">
      <c r="A12" s="268" t="s">
        <v>34</v>
      </c>
      <c r="B12" s="269"/>
      <c r="C12" s="269"/>
      <c r="D12" s="269"/>
      <c r="E12" s="269"/>
      <c r="F12" s="42">
        <f>D10*I10*12</f>
        <v>52902.72</v>
      </c>
      <c r="G12" s="42">
        <f>24405.12+28497.6</f>
        <v>52902.72</v>
      </c>
      <c r="H12" s="270"/>
      <c r="I12" s="271"/>
      <c r="J12" s="271"/>
      <c r="K12" s="55"/>
    </row>
    <row r="13" spans="1:11" s="14" customFormat="1" ht="13.5" customHeight="1">
      <c r="A13" s="268" t="s">
        <v>50</v>
      </c>
      <c r="B13" s="269"/>
      <c r="C13" s="269"/>
      <c r="D13" s="269"/>
      <c r="E13" s="269"/>
      <c r="F13" s="42">
        <f>-(D10*12*0)</f>
        <v>0</v>
      </c>
      <c r="G13" s="42">
        <v>0</v>
      </c>
      <c r="H13" s="270"/>
      <c r="I13" s="271"/>
      <c r="J13" s="271"/>
      <c r="K13" s="55"/>
    </row>
    <row r="14" spans="1:11" s="41" customFormat="1" ht="12.75" customHeight="1">
      <c r="A14" s="272" t="s">
        <v>55</v>
      </c>
      <c r="B14" s="273"/>
      <c r="C14" s="273"/>
      <c r="D14" s="273"/>
      <c r="E14" s="273"/>
      <c r="F14" s="42">
        <v>0</v>
      </c>
      <c r="G14" s="42">
        <v>0</v>
      </c>
      <c r="H14" s="270"/>
      <c r="I14" s="271"/>
      <c r="J14" s="271"/>
      <c r="K14" s="55"/>
    </row>
    <row r="15" spans="1:11" s="14" customFormat="1" ht="13.5" customHeight="1">
      <c r="A15" s="268" t="s">
        <v>104</v>
      </c>
      <c r="B15" s="269"/>
      <c r="C15" s="269"/>
      <c r="D15" s="269"/>
      <c r="E15" s="269"/>
      <c r="F15" s="42">
        <v>0</v>
      </c>
      <c r="G15" s="42">
        <v>0</v>
      </c>
      <c r="H15" s="270"/>
      <c r="I15" s="271"/>
      <c r="J15" s="271"/>
      <c r="K15" s="55"/>
    </row>
    <row r="16" spans="1:11" s="40" customFormat="1" ht="12.75" customHeight="1" thickBot="1">
      <c r="A16" s="287" t="s">
        <v>107</v>
      </c>
      <c r="B16" s="288"/>
      <c r="C16" s="288"/>
      <c r="D16" s="288"/>
      <c r="E16" s="288"/>
      <c r="F16" s="46">
        <f>F11+F12+F13+F14+F15</f>
        <v>71144.23</v>
      </c>
      <c r="G16" s="46">
        <f>G11+G12+G13+G14+G15</f>
        <v>51417.630000000005</v>
      </c>
      <c r="H16" s="276"/>
      <c r="I16" s="277"/>
      <c r="J16" s="277"/>
      <c r="K16" s="56"/>
    </row>
    <row r="17" spans="1:11" s="86" customFormat="1" ht="13.5" customHeight="1" thickBot="1">
      <c r="A17" s="58"/>
      <c r="B17" s="58"/>
      <c r="C17" s="58"/>
      <c r="D17" s="58"/>
      <c r="E17" s="58"/>
      <c r="F17" s="59"/>
      <c r="G17" s="59"/>
      <c r="H17" s="61"/>
      <c r="I17" s="64"/>
      <c r="J17" s="64"/>
      <c r="K17" s="62"/>
    </row>
    <row r="18" spans="1:11" ht="12.75">
      <c r="A18" s="120">
        <v>1</v>
      </c>
      <c r="B18" s="97" t="s">
        <v>140</v>
      </c>
      <c r="C18" s="97" t="s">
        <v>115</v>
      </c>
      <c r="D18" s="92" t="s">
        <v>116</v>
      </c>
      <c r="E18" s="92"/>
      <c r="F18" s="98">
        <v>40000</v>
      </c>
      <c r="G18" s="98"/>
      <c r="H18" s="92">
        <v>2013</v>
      </c>
      <c r="I18" s="92"/>
      <c r="J18" s="92" t="s">
        <v>3</v>
      </c>
      <c r="K18" s="121"/>
    </row>
    <row r="19" spans="1:11" ht="12.75">
      <c r="A19" s="30">
        <v>2</v>
      </c>
      <c r="B19" s="31"/>
      <c r="C19" s="31" t="s">
        <v>125</v>
      </c>
      <c r="D19" s="4" t="s">
        <v>132</v>
      </c>
      <c r="E19" s="4"/>
      <c r="F19" s="32">
        <v>4000</v>
      </c>
      <c r="G19" s="213">
        <f>1107*2</f>
        <v>2214</v>
      </c>
      <c r="H19" s="4">
        <v>2013</v>
      </c>
      <c r="I19" s="4"/>
      <c r="J19" s="35" t="s">
        <v>3</v>
      </c>
      <c r="K19" s="33"/>
    </row>
    <row r="20" spans="1:11" ht="12.75">
      <c r="A20" s="30">
        <v>3</v>
      </c>
      <c r="B20" s="31"/>
      <c r="C20" s="31" t="s">
        <v>21</v>
      </c>
      <c r="D20" s="4"/>
      <c r="E20" s="4"/>
      <c r="F20" s="32">
        <v>15000</v>
      </c>
      <c r="G20" s="213"/>
      <c r="H20" s="4">
        <v>2013</v>
      </c>
      <c r="I20" s="4"/>
      <c r="J20" s="4" t="s">
        <v>4</v>
      </c>
      <c r="K20" s="33"/>
    </row>
    <row r="21" spans="1:11" ht="12.75">
      <c r="A21" s="30">
        <v>4</v>
      </c>
      <c r="B21" s="160" t="s">
        <v>169</v>
      </c>
      <c r="C21" s="160" t="s">
        <v>168</v>
      </c>
      <c r="D21" s="158"/>
      <c r="E21" s="158"/>
      <c r="F21" s="161"/>
      <c r="G21" s="208">
        <v>27685.5</v>
      </c>
      <c r="H21" s="158"/>
      <c r="I21" s="158">
        <v>2013</v>
      </c>
      <c r="J21" s="158" t="s">
        <v>4</v>
      </c>
      <c r="K21" s="33"/>
    </row>
    <row r="22" spans="1:11" ht="12.75">
      <c r="A22" s="30">
        <v>5</v>
      </c>
      <c r="B22" s="160" t="s">
        <v>169</v>
      </c>
      <c r="C22" s="160" t="s">
        <v>191</v>
      </c>
      <c r="D22" s="158"/>
      <c r="E22" s="158"/>
      <c r="F22" s="161"/>
      <c r="G22" s="208">
        <v>5080.87</v>
      </c>
      <c r="H22" s="158"/>
      <c r="I22" s="158">
        <v>2013</v>
      </c>
      <c r="J22" s="158" t="s">
        <v>4</v>
      </c>
      <c r="K22" s="33"/>
    </row>
    <row r="23" spans="1:11" ht="12.75">
      <c r="A23" s="30">
        <v>6</v>
      </c>
      <c r="B23" s="31"/>
      <c r="C23" s="31"/>
      <c r="D23" s="4"/>
      <c r="E23" s="4"/>
      <c r="F23" s="32"/>
      <c r="G23" s="213"/>
      <c r="H23" s="4"/>
      <c r="I23" s="4"/>
      <c r="J23" s="35"/>
      <c r="K23" s="33"/>
    </row>
    <row r="24" spans="1:11" ht="12.75">
      <c r="A24" s="29">
        <v>7</v>
      </c>
      <c r="B24" s="28"/>
      <c r="C24" s="52"/>
      <c r="D24" s="26"/>
      <c r="E24" s="2"/>
      <c r="F24" s="66"/>
      <c r="G24" s="214"/>
      <c r="H24" s="2"/>
      <c r="I24" s="2"/>
      <c r="J24" s="26"/>
      <c r="K24" s="25"/>
    </row>
    <row r="25" spans="1:11" ht="12.75">
      <c r="A25" s="29">
        <v>8</v>
      </c>
      <c r="B25" s="51"/>
      <c r="C25" s="53"/>
      <c r="D25" s="35"/>
      <c r="E25" s="4"/>
      <c r="F25" s="65"/>
      <c r="G25" s="32"/>
      <c r="H25" s="4"/>
      <c r="I25" s="4"/>
      <c r="J25" s="26"/>
      <c r="K25" s="25"/>
    </row>
    <row r="26" spans="1:11" ht="12.75">
      <c r="A26" s="29">
        <v>9</v>
      </c>
      <c r="B26" s="51"/>
      <c r="C26" s="53"/>
      <c r="D26" s="35"/>
      <c r="E26" s="4"/>
      <c r="F26" s="65"/>
      <c r="G26" s="32"/>
      <c r="H26" s="4"/>
      <c r="I26" s="4"/>
      <c r="J26" s="35"/>
      <c r="K26" s="25"/>
    </row>
    <row r="27" spans="1:11" ht="12.75">
      <c r="A27" s="29">
        <v>10</v>
      </c>
      <c r="B27" s="51"/>
      <c r="C27" s="53"/>
      <c r="D27" s="35"/>
      <c r="E27" s="4"/>
      <c r="F27" s="65"/>
      <c r="G27" s="32"/>
      <c r="H27" s="4"/>
      <c r="I27" s="4"/>
      <c r="J27" s="35"/>
      <c r="K27" s="25"/>
    </row>
    <row r="28" spans="1:11" ht="12.75">
      <c r="A28" s="29">
        <v>11</v>
      </c>
      <c r="B28" s="51"/>
      <c r="C28" s="53"/>
      <c r="D28" s="35"/>
      <c r="E28" s="4"/>
      <c r="F28" s="65"/>
      <c r="G28" s="32"/>
      <c r="H28" s="4"/>
      <c r="I28" s="4"/>
      <c r="J28" s="35"/>
      <c r="K28" s="25"/>
    </row>
    <row r="29" spans="1:11" ht="12.75">
      <c r="A29" s="29">
        <v>12</v>
      </c>
      <c r="B29" s="51"/>
      <c r="C29" s="53"/>
      <c r="D29" s="35"/>
      <c r="E29" s="4"/>
      <c r="F29" s="65"/>
      <c r="G29" s="32"/>
      <c r="H29" s="4"/>
      <c r="I29" s="4"/>
      <c r="J29" s="35"/>
      <c r="K29" s="25"/>
    </row>
    <row r="30" spans="1:11" ht="12.75">
      <c r="A30" s="29">
        <v>13</v>
      </c>
      <c r="B30" s="51"/>
      <c r="C30" s="53"/>
      <c r="D30" s="35"/>
      <c r="E30" s="4"/>
      <c r="F30" s="65"/>
      <c r="G30" s="32"/>
      <c r="H30" s="4"/>
      <c r="I30" s="4"/>
      <c r="J30" s="35"/>
      <c r="K30" s="25"/>
    </row>
    <row r="31" spans="1:11" ht="12.75">
      <c r="A31" s="29">
        <v>14</v>
      </c>
      <c r="B31" s="51"/>
      <c r="C31" s="53"/>
      <c r="D31" s="35"/>
      <c r="E31" s="4"/>
      <c r="F31" s="65"/>
      <c r="G31" s="32"/>
      <c r="H31" s="4"/>
      <c r="I31" s="4"/>
      <c r="J31" s="35"/>
      <c r="K31" s="25"/>
    </row>
    <row r="32" spans="1:11" ht="12.75">
      <c r="A32" s="29">
        <v>15</v>
      </c>
      <c r="B32" s="28"/>
      <c r="C32" s="52"/>
      <c r="D32" s="26"/>
      <c r="E32" s="2"/>
      <c r="F32" s="66"/>
      <c r="G32" s="3"/>
      <c r="H32" s="2"/>
      <c r="I32" s="2"/>
      <c r="J32" s="26"/>
      <c r="K32" s="25"/>
    </row>
    <row r="33" spans="1:11" ht="13.5" thickBot="1">
      <c r="A33" s="104">
        <v>16</v>
      </c>
      <c r="B33" s="105"/>
      <c r="C33" s="106"/>
      <c r="D33" s="107"/>
      <c r="E33" s="108"/>
      <c r="F33" s="109"/>
      <c r="G33" s="110"/>
      <c r="H33" s="108"/>
      <c r="I33" s="108"/>
      <c r="J33" s="107"/>
      <c r="K33" s="111"/>
    </row>
    <row r="34" spans="1:11" ht="13.5" thickBot="1">
      <c r="A34" s="79"/>
      <c r="B34" s="80"/>
      <c r="C34" s="44"/>
      <c r="D34" s="81"/>
      <c r="E34" s="21"/>
      <c r="F34" s="77"/>
      <c r="G34" s="37"/>
      <c r="H34" s="21"/>
      <c r="I34" s="21"/>
      <c r="J34" s="81"/>
      <c r="K34" s="48"/>
    </row>
    <row r="35" spans="1:11" s="14" customFormat="1" ht="13.5" customHeight="1">
      <c r="A35" s="264" t="s">
        <v>53</v>
      </c>
      <c r="B35" s="265"/>
      <c r="C35" s="265"/>
      <c r="D35" s="265"/>
      <c r="E35" s="265"/>
      <c r="F35" s="45">
        <f>SUM(F18:F33)</f>
        <v>59000</v>
      </c>
      <c r="G35" s="45">
        <f>SUM(G18:G33)</f>
        <v>34980.37</v>
      </c>
      <c r="H35" s="266"/>
      <c r="I35" s="267"/>
      <c r="J35" s="267"/>
      <c r="K35" s="94"/>
    </row>
    <row r="36" spans="1:11" s="14" customFormat="1" ht="13.5" customHeight="1">
      <c r="A36" s="112"/>
      <c r="B36" s="278" t="s">
        <v>24</v>
      </c>
      <c r="C36" s="279"/>
      <c r="D36" s="280"/>
      <c r="E36" s="281"/>
      <c r="F36" s="113"/>
      <c r="G36" s="113"/>
      <c r="H36" s="282"/>
      <c r="I36" s="283"/>
      <c r="J36" s="283"/>
      <c r="K36" s="54"/>
    </row>
    <row r="37" spans="1:11" s="14" customFormat="1" ht="13.5" customHeight="1">
      <c r="A37" s="112"/>
      <c r="B37" s="278"/>
      <c r="C37" s="284"/>
      <c r="D37" s="280"/>
      <c r="E37" s="281"/>
      <c r="F37" s="114"/>
      <c r="G37" s="114"/>
      <c r="H37" s="270"/>
      <c r="I37" s="279"/>
      <c r="J37" s="279"/>
      <c r="K37" s="55"/>
    </row>
    <row r="38" spans="1:11" s="14" customFormat="1" ht="13.5" customHeight="1">
      <c r="A38" s="115"/>
      <c r="B38" s="278" t="s">
        <v>4</v>
      </c>
      <c r="C38" s="293"/>
      <c r="D38" s="280"/>
      <c r="E38" s="281"/>
      <c r="F38" s="43">
        <f>F20</f>
        <v>15000</v>
      </c>
      <c r="G38" s="43">
        <f>G22+G21</f>
        <v>32766.37</v>
      </c>
      <c r="H38" s="294"/>
      <c r="I38" s="295"/>
      <c r="J38" s="295"/>
      <c r="K38" s="57"/>
    </row>
    <row r="39" spans="1:11" s="14" customFormat="1" ht="13.5" customHeight="1">
      <c r="A39" s="115"/>
      <c r="B39" s="291" t="s">
        <v>3</v>
      </c>
      <c r="C39" s="291"/>
      <c r="D39" s="292"/>
      <c r="E39" s="292"/>
      <c r="F39" s="43">
        <f>F35-F37-F38</f>
        <v>44000</v>
      </c>
      <c r="G39" s="43">
        <f>G35-G37-G38</f>
        <v>2214.0000000000036</v>
      </c>
      <c r="H39" s="289"/>
      <c r="I39" s="290"/>
      <c r="J39" s="290"/>
      <c r="K39" s="36"/>
    </row>
    <row r="40" spans="1:11" s="14" customFormat="1" ht="13.5" customHeight="1" thickBot="1">
      <c r="A40" s="274" t="s">
        <v>121</v>
      </c>
      <c r="B40" s="275"/>
      <c r="C40" s="275"/>
      <c r="D40" s="275"/>
      <c r="E40" s="275"/>
      <c r="F40" s="47">
        <f>F16-F35</f>
        <v>12144.229999999996</v>
      </c>
      <c r="G40" s="47">
        <f>G16-G35</f>
        <v>16437.260000000002</v>
      </c>
      <c r="H40" s="276"/>
      <c r="I40" s="277"/>
      <c r="J40" s="277"/>
      <c r="K40" s="56"/>
    </row>
    <row r="41" spans="1:11" s="63" customFormat="1" ht="13.5" customHeight="1">
      <c r="A41" s="58"/>
      <c r="B41" s="58"/>
      <c r="C41" s="58"/>
      <c r="D41" s="58"/>
      <c r="E41" s="58"/>
      <c r="F41" s="59"/>
      <c r="G41" s="59"/>
      <c r="H41" s="61"/>
      <c r="I41" s="64"/>
      <c r="J41" s="64"/>
      <c r="K41" s="62"/>
    </row>
    <row r="42" spans="1:11" s="10" customFormat="1" ht="11.25">
      <c r="A42" s="21"/>
      <c r="B42" s="49"/>
      <c r="C42" s="21"/>
      <c r="D42" s="21"/>
      <c r="E42" s="21"/>
      <c r="F42" s="50"/>
      <c r="G42" s="37"/>
      <c r="H42" s="21"/>
      <c r="I42" s="21"/>
      <c r="J42" s="21"/>
      <c r="K42" s="23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  <row r="63" ht="12.75">
      <c r="K63" s="1"/>
    </row>
  </sheetData>
  <sheetProtection/>
  <mergeCells count="38">
    <mergeCell ref="B36:E36"/>
    <mergeCell ref="H36:J36"/>
    <mergeCell ref="B37:E37"/>
    <mergeCell ref="A35:E35"/>
    <mergeCell ref="H40:J40"/>
    <mergeCell ref="B38:E38"/>
    <mergeCell ref="H38:J38"/>
    <mergeCell ref="B39:E39"/>
    <mergeCell ref="I6:I7"/>
    <mergeCell ref="H37:J37"/>
    <mergeCell ref="A12:E12"/>
    <mergeCell ref="H39:J39"/>
    <mergeCell ref="A40:E40"/>
    <mergeCell ref="A16:E16"/>
    <mergeCell ref="H16:J16"/>
    <mergeCell ref="E6:E7"/>
    <mergeCell ref="H35:J35"/>
    <mergeCell ref="G6:G7"/>
    <mergeCell ref="H12:J12"/>
    <mergeCell ref="A13:E13"/>
    <mergeCell ref="H13:J13"/>
    <mergeCell ref="H15:J15"/>
    <mergeCell ref="A15:E15"/>
    <mergeCell ref="A9:K9"/>
    <mergeCell ref="A11:E11"/>
    <mergeCell ref="H11:J11"/>
    <mergeCell ref="A14:E14"/>
    <mergeCell ref="H14:J14"/>
    <mergeCell ref="A3:K3"/>
    <mergeCell ref="A4:K4"/>
    <mergeCell ref="A6:A7"/>
    <mergeCell ref="B6:B7"/>
    <mergeCell ref="C6:C7"/>
    <mergeCell ref="D6:D7"/>
    <mergeCell ref="K6:K7"/>
    <mergeCell ref="F6:F7"/>
    <mergeCell ref="J6:J7"/>
    <mergeCell ref="H6:H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L63"/>
  <sheetViews>
    <sheetView zoomScale="150" zoomScaleNormal="150" zoomScalePageLayoutView="0" workbookViewId="0" topLeftCell="A7">
      <selection activeCell="C22" sqref="C22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7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201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138</v>
      </c>
      <c r="I2" s="10"/>
      <c r="J2" s="10"/>
      <c r="K2" s="10"/>
    </row>
    <row r="3" spans="1:12" ht="12.75" customHeight="1">
      <c r="A3" s="253" t="s">
        <v>117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39"/>
    </row>
    <row r="4" spans="1:11" ht="12.75" customHeight="1">
      <c r="A4" s="253" t="s">
        <v>200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55" t="s">
        <v>9</v>
      </c>
      <c r="B6" s="257" t="s">
        <v>0</v>
      </c>
      <c r="C6" s="257" t="s">
        <v>1</v>
      </c>
      <c r="D6" s="257" t="s">
        <v>10</v>
      </c>
      <c r="E6" s="257" t="s">
        <v>11</v>
      </c>
      <c r="F6" s="257" t="s">
        <v>12</v>
      </c>
      <c r="G6" s="311" t="s">
        <v>13</v>
      </c>
      <c r="H6" s="257" t="s">
        <v>14</v>
      </c>
      <c r="I6" s="257" t="s">
        <v>15</v>
      </c>
      <c r="J6" s="257" t="s">
        <v>16</v>
      </c>
      <c r="K6" s="259" t="s">
        <v>2</v>
      </c>
    </row>
    <row r="7" spans="1:11" ht="13.5" thickBot="1">
      <c r="A7" s="256"/>
      <c r="B7" s="258"/>
      <c r="C7" s="258"/>
      <c r="D7" s="258"/>
      <c r="E7" s="258"/>
      <c r="F7" s="258"/>
      <c r="G7" s="312"/>
      <c r="H7" s="258"/>
      <c r="I7" s="258"/>
      <c r="J7" s="258"/>
      <c r="K7" s="260"/>
    </row>
    <row r="8" spans="1:11" ht="13.5" thickBot="1">
      <c r="A8" s="38"/>
      <c r="B8" s="38"/>
      <c r="C8" s="38"/>
      <c r="D8" s="38"/>
      <c r="E8" s="38"/>
      <c r="F8" s="38"/>
      <c r="G8" s="138"/>
      <c r="H8" s="38"/>
      <c r="I8" s="38"/>
      <c r="J8" s="38"/>
      <c r="K8" s="38"/>
    </row>
    <row r="9" spans="1:11" ht="21" customHeight="1" thickBot="1">
      <c r="A9" s="261" t="s">
        <v>71</v>
      </c>
      <c r="B9" s="262"/>
      <c r="C9" s="262"/>
      <c r="D9" s="262"/>
      <c r="E9" s="262"/>
      <c r="F9" s="262"/>
      <c r="G9" s="262"/>
      <c r="H9" s="262"/>
      <c r="I9" s="262"/>
      <c r="J9" s="262"/>
      <c r="K9" s="263"/>
    </row>
    <row r="10" spans="1:11" s="14" customFormat="1" ht="12.75" customHeight="1">
      <c r="A10" s="15"/>
      <c r="B10" s="16"/>
      <c r="C10" s="16" t="s">
        <v>17</v>
      </c>
      <c r="D10" s="17">
        <v>5630.5</v>
      </c>
      <c r="E10" s="18" t="s">
        <v>6</v>
      </c>
      <c r="F10" s="19"/>
      <c r="G10" s="139"/>
      <c r="H10" s="11" t="s">
        <v>8</v>
      </c>
      <c r="I10" s="12">
        <v>1.2</v>
      </c>
      <c r="J10" s="13" t="s">
        <v>7</v>
      </c>
      <c r="K10" s="20"/>
    </row>
    <row r="11" spans="1:11" s="14" customFormat="1" ht="13.5" customHeight="1">
      <c r="A11" s="272" t="s">
        <v>118</v>
      </c>
      <c r="B11" s="273"/>
      <c r="C11" s="273"/>
      <c r="D11" s="273"/>
      <c r="E11" s="273"/>
      <c r="F11" s="42">
        <v>5158.5</v>
      </c>
      <c r="G11" s="42">
        <v>48643.33</v>
      </c>
      <c r="H11" s="270"/>
      <c r="I11" s="271"/>
      <c r="J11" s="271"/>
      <c r="K11" s="55"/>
    </row>
    <row r="12" spans="1:11" s="14" customFormat="1" ht="13.5" customHeight="1">
      <c r="A12" s="268" t="s">
        <v>34</v>
      </c>
      <c r="B12" s="269"/>
      <c r="C12" s="269"/>
      <c r="D12" s="269"/>
      <c r="E12" s="269"/>
      <c r="F12" s="42">
        <f>D10*I10*12</f>
        <v>81079.2</v>
      </c>
      <c r="G12" s="42">
        <v>81079.2</v>
      </c>
      <c r="H12" s="270"/>
      <c r="I12" s="271"/>
      <c r="J12" s="271"/>
      <c r="K12" s="55"/>
    </row>
    <row r="13" spans="1:11" s="14" customFormat="1" ht="13.5" customHeight="1">
      <c r="A13" s="268" t="s">
        <v>50</v>
      </c>
      <c r="B13" s="269"/>
      <c r="C13" s="269"/>
      <c r="D13" s="269"/>
      <c r="E13" s="269"/>
      <c r="F13" s="42">
        <f>-(D10*12*0)</f>
        <v>0</v>
      </c>
      <c r="G13" s="42">
        <v>0</v>
      </c>
      <c r="H13" s="270"/>
      <c r="I13" s="271"/>
      <c r="J13" s="271"/>
      <c r="K13" s="55"/>
    </row>
    <row r="14" spans="1:11" s="41" customFormat="1" ht="12.75" customHeight="1">
      <c r="A14" s="272" t="s">
        <v>55</v>
      </c>
      <c r="B14" s="273"/>
      <c r="C14" s="273"/>
      <c r="D14" s="273"/>
      <c r="E14" s="273"/>
      <c r="F14" s="42">
        <v>0</v>
      </c>
      <c r="G14" s="42">
        <v>1333.83</v>
      </c>
      <c r="H14" s="270"/>
      <c r="I14" s="271"/>
      <c r="J14" s="271"/>
      <c r="K14" s="55"/>
    </row>
    <row r="15" spans="1:11" s="14" customFormat="1" ht="13.5" customHeight="1">
      <c r="A15" s="268" t="s">
        <v>104</v>
      </c>
      <c r="B15" s="269"/>
      <c r="C15" s="269"/>
      <c r="D15" s="269"/>
      <c r="E15" s="269"/>
      <c r="F15" s="42">
        <v>0</v>
      </c>
      <c r="G15" s="42">
        <v>0</v>
      </c>
      <c r="H15" s="270"/>
      <c r="I15" s="271"/>
      <c r="J15" s="271"/>
      <c r="K15" s="55"/>
    </row>
    <row r="16" spans="1:11" s="40" customFormat="1" ht="12.75" customHeight="1" thickBot="1">
      <c r="A16" s="287" t="s">
        <v>107</v>
      </c>
      <c r="B16" s="288"/>
      <c r="C16" s="288"/>
      <c r="D16" s="288"/>
      <c r="E16" s="288"/>
      <c r="F16" s="46">
        <f>F11+F12+F13+F14+F15</f>
        <v>86237.7</v>
      </c>
      <c r="G16" s="46">
        <f>G11+G12+G13+G14+G15</f>
        <v>131056.36</v>
      </c>
      <c r="H16" s="276"/>
      <c r="I16" s="277"/>
      <c r="J16" s="277"/>
      <c r="K16" s="56"/>
    </row>
    <row r="17" spans="1:11" s="86" customFormat="1" ht="13.5" customHeight="1" thickBot="1">
      <c r="A17" s="58"/>
      <c r="B17" s="58"/>
      <c r="C17" s="58"/>
      <c r="D17" s="58"/>
      <c r="E17" s="58"/>
      <c r="F17" s="59"/>
      <c r="G17" s="59"/>
      <c r="H17" s="61"/>
      <c r="I17" s="64"/>
      <c r="J17" s="64"/>
      <c r="K17" s="62"/>
    </row>
    <row r="18" spans="1:11" s="130" customFormat="1" ht="12.75">
      <c r="A18" s="148">
        <v>1</v>
      </c>
      <c r="B18" s="71" t="s">
        <v>20</v>
      </c>
      <c r="C18" s="70" t="s">
        <v>122</v>
      </c>
      <c r="D18" s="71" t="s">
        <v>52</v>
      </c>
      <c r="E18" s="71"/>
      <c r="F18" s="72">
        <v>50000</v>
      </c>
      <c r="G18" s="245">
        <v>31177.33</v>
      </c>
      <c r="H18" s="71">
        <v>2013</v>
      </c>
      <c r="I18" s="71"/>
      <c r="J18" s="71" t="s">
        <v>3</v>
      </c>
      <c r="K18" s="234"/>
    </row>
    <row r="19" spans="1:11" s="130" customFormat="1" ht="12.75">
      <c r="A19" s="209">
        <v>2</v>
      </c>
      <c r="B19" s="68" t="s">
        <v>20</v>
      </c>
      <c r="C19" s="53" t="s">
        <v>125</v>
      </c>
      <c r="D19" s="127" t="s">
        <v>129</v>
      </c>
      <c r="E19" s="127"/>
      <c r="F19" s="65">
        <v>2000</v>
      </c>
      <c r="G19" s="232">
        <v>1107</v>
      </c>
      <c r="H19" s="127">
        <v>2013</v>
      </c>
      <c r="I19" s="68"/>
      <c r="J19" s="68" t="s">
        <v>3</v>
      </c>
      <c r="K19" s="235"/>
    </row>
    <row r="20" spans="1:11" s="130" customFormat="1" ht="12.75">
      <c r="A20" s="126">
        <v>3</v>
      </c>
      <c r="B20" s="68"/>
      <c r="C20" s="53" t="s">
        <v>21</v>
      </c>
      <c r="D20" s="127"/>
      <c r="E20" s="127"/>
      <c r="F20" s="65">
        <v>30000</v>
      </c>
      <c r="G20" s="232"/>
      <c r="H20" s="127">
        <v>2013</v>
      </c>
      <c r="I20" s="128"/>
      <c r="J20" s="124" t="s">
        <v>4</v>
      </c>
      <c r="K20" s="129"/>
    </row>
    <row r="21" spans="1:11" s="130" customFormat="1" ht="12.75">
      <c r="A21" s="126">
        <v>4</v>
      </c>
      <c r="B21" s="174"/>
      <c r="C21" s="166" t="s">
        <v>163</v>
      </c>
      <c r="D21" s="174"/>
      <c r="E21" s="174"/>
      <c r="F21" s="165"/>
      <c r="G21" s="244">
        <v>389.6</v>
      </c>
      <c r="H21" s="174"/>
      <c r="I21" s="174"/>
      <c r="J21" s="174" t="s">
        <v>4</v>
      </c>
      <c r="K21" s="236"/>
    </row>
    <row r="22" spans="1:11" s="130" customFormat="1" ht="12.75">
      <c r="A22" s="126">
        <v>5</v>
      </c>
      <c r="B22" s="174"/>
      <c r="C22" s="166" t="s">
        <v>229</v>
      </c>
      <c r="D22" s="174"/>
      <c r="E22" s="174"/>
      <c r="F22" s="165"/>
      <c r="G22" s="244">
        <v>7958.08</v>
      </c>
      <c r="H22" s="174"/>
      <c r="I22" s="174"/>
      <c r="J22" s="174" t="s">
        <v>4</v>
      </c>
      <c r="K22" s="236"/>
    </row>
    <row r="23" spans="1:11" s="130" customFormat="1" ht="12.75">
      <c r="A23" s="126">
        <v>6</v>
      </c>
      <c r="B23" s="237"/>
      <c r="C23" s="173" t="s">
        <v>192</v>
      </c>
      <c r="D23" s="170"/>
      <c r="E23" s="170"/>
      <c r="F23" s="169"/>
      <c r="G23" s="218">
        <v>1350</v>
      </c>
      <c r="H23" s="170"/>
      <c r="I23" s="170"/>
      <c r="J23" s="170" t="s">
        <v>3</v>
      </c>
      <c r="K23" s="236"/>
    </row>
    <row r="24" spans="1:11" s="130" customFormat="1" ht="12.75">
      <c r="A24" s="131">
        <v>7</v>
      </c>
      <c r="B24" s="237"/>
      <c r="C24" s="173" t="s">
        <v>224</v>
      </c>
      <c r="D24" s="170"/>
      <c r="E24" s="170"/>
      <c r="F24" s="169"/>
      <c r="G24" s="218">
        <v>1396.45</v>
      </c>
      <c r="H24" s="170"/>
      <c r="I24" s="170"/>
      <c r="J24" s="170" t="s">
        <v>4</v>
      </c>
      <c r="K24" s="238"/>
    </row>
    <row r="25" spans="1:11" s="130" customFormat="1" ht="12.75">
      <c r="A25" s="131">
        <v>8</v>
      </c>
      <c r="B25" s="239"/>
      <c r="C25" s="166"/>
      <c r="D25" s="174"/>
      <c r="E25" s="174"/>
      <c r="F25" s="165"/>
      <c r="G25" s="165"/>
      <c r="H25" s="174"/>
      <c r="I25" s="174"/>
      <c r="J25" s="170"/>
      <c r="K25" s="238"/>
    </row>
    <row r="26" spans="1:11" s="130" customFormat="1" ht="12.75">
      <c r="A26" s="131">
        <v>9</v>
      </c>
      <c r="B26" s="239"/>
      <c r="C26" s="166"/>
      <c r="D26" s="174"/>
      <c r="E26" s="174"/>
      <c r="F26" s="165"/>
      <c r="G26" s="165"/>
      <c r="H26" s="174"/>
      <c r="I26" s="174"/>
      <c r="J26" s="174"/>
      <c r="K26" s="238"/>
    </row>
    <row r="27" spans="1:11" s="130" customFormat="1" ht="12.75">
      <c r="A27" s="131">
        <v>10</v>
      </c>
      <c r="B27" s="239"/>
      <c r="C27" s="166"/>
      <c r="D27" s="174"/>
      <c r="E27" s="174"/>
      <c r="F27" s="165"/>
      <c r="G27" s="165"/>
      <c r="H27" s="174"/>
      <c r="I27" s="174"/>
      <c r="J27" s="174"/>
      <c r="K27" s="238"/>
    </row>
    <row r="28" spans="1:11" s="130" customFormat="1" ht="12.75">
      <c r="A28" s="131">
        <v>11</v>
      </c>
      <c r="B28" s="239"/>
      <c r="C28" s="166"/>
      <c r="D28" s="174"/>
      <c r="E28" s="174"/>
      <c r="F28" s="165"/>
      <c r="G28" s="165"/>
      <c r="H28" s="174"/>
      <c r="I28" s="174"/>
      <c r="J28" s="174"/>
      <c r="K28" s="238"/>
    </row>
    <row r="29" spans="1:11" s="130" customFormat="1" ht="12.75">
      <c r="A29" s="131">
        <v>12</v>
      </c>
      <c r="B29" s="239"/>
      <c r="C29" s="166"/>
      <c r="D29" s="174"/>
      <c r="E29" s="174"/>
      <c r="F29" s="165"/>
      <c r="G29" s="165"/>
      <c r="H29" s="174"/>
      <c r="I29" s="174"/>
      <c r="J29" s="174"/>
      <c r="K29" s="238"/>
    </row>
    <row r="30" spans="1:11" s="130" customFormat="1" ht="12.75">
      <c r="A30" s="131">
        <v>13</v>
      </c>
      <c r="B30" s="239"/>
      <c r="C30" s="166"/>
      <c r="D30" s="174"/>
      <c r="E30" s="174"/>
      <c r="F30" s="165"/>
      <c r="G30" s="165"/>
      <c r="H30" s="174"/>
      <c r="I30" s="174"/>
      <c r="J30" s="174"/>
      <c r="K30" s="238"/>
    </row>
    <row r="31" spans="1:11" s="130" customFormat="1" ht="12.75">
      <c r="A31" s="131">
        <v>14</v>
      </c>
      <c r="B31" s="239"/>
      <c r="C31" s="166"/>
      <c r="D31" s="174"/>
      <c r="E31" s="174"/>
      <c r="F31" s="165"/>
      <c r="G31" s="165"/>
      <c r="H31" s="174"/>
      <c r="I31" s="174"/>
      <c r="J31" s="174"/>
      <c r="K31" s="238"/>
    </row>
    <row r="32" spans="1:11" s="130" customFormat="1" ht="12.75">
      <c r="A32" s="131">
        <v>15</v>
      </c>
      <c r="B32" s="237"/>
      <c r="C32" s="173"/>
      <c r="D32" s="170"/>
      <c r="E32" s="170"/>
      <c r="F32" s="169"/>
      <c r="G32" s="169"/>
      <c r="H32" s="170"/>
      <c r="I32" s="170"/>
      <c r="J32" s="170"/>
      <c r="K32" s="238"/>
    </row>
    <row r="33" spans="1:11" s="130" customFormat="1" ht="13.5" thickBot="1">
      <c r="A33" s="152">
        <v>16</v>
      </c>
      <c r="B33" s="240"/>
      <c r="C33" s="186"/>
      <c r="D33" s="196"/>
      <c r="E33" s="196"/>
      <c r="F33" s="189"/>
      <c r="G33" s="189"/>
      <c r="H33" s="196"/>
      <c r="I33" s="196"/>
      <c r="J33" s="196"/>
      <c r="K33" s="241"/>
    </row>
    <row r="34" spans="1:11" ht="13.5" thickBot="1">
      <c r="A34" s="79"/>
      <c r="B34" s="80"/>
      <c r="C34" s="44"/>
      <c r="D34" s="81"/>
      <c r="E34" s="21"/>
      <c r="F34" s="77"/>
      <c r="G34" s="37"/>
      <c r="H34" s="21"/>
      <c r="I34" s="21"/>
      <c r="J34" s="81"/>
      <c r="K34" s="48"/>
    </row>
    <row r="35" spans="1:11" s="14" customFormat="1" ht="13.5" customHeight="1">
      <c r="A35" s="264" t="s">
        <v>53</v>
      </c>
      <c r="B35" s="265"/>
      <c r="C35" s="265"/>
      <c r="D35" s="265"/>
      <c r="E35" s="265"/>
      <c r="F35" s="45">
        <f>SUM(F18:F33)</f>
        <v>82000</v>
      </c>
      <c r="G35" s="45">
        <f>SUM(G18:G33)</f>
        <v>43378.46</v>
      </c>
      <c r="H35" s="266"/>
      <c r="I35" s="267"/>
      <c r="J35" s="267"/>
      <c r="K35" s="94"/>
    </row>
    <row r="36" spans="1:11" s="14" customFormat="1" ht="13.5" customHeight="1">
      <c r="A36" s="112"/>
      <c r="B36" s="278" t="s">
        <v>24</v>
      </c>
      <c r="C36" s="279"/>
      <c r="D36" s="280"/>
      <c r="E36" s="281"/>
      <c r="F36" s="113"/>
      <c r="G36" s="113"/>
      <c r="H36" s="282"/>
      <c r="I36" s="283"/>
      <c r="J36" s="283"/>
      <c r="K36" s="54"/>
    </row>
    <row r="37" spans="1:11" s="14" customFormat="1" ht="13.5" customHeight="1">
      <c r="A37" s="112"/>
      <c r="B37" s="278"/>
      <c r="C37" s="284"/>
      <c r="D37" s="280"/>
      <c r="E37" s="281"/>
      <c r="F37" s="114"/>
      <c r="G37" s="114"/>
      <c r="H37" s="270"/>
      <c r="I37" s="279"/>
      <c r="J37" s="279"/>
      <c r="K37" s="55"/>
    </row>
    <row r="38" spans="1:11" s="14" customFormat="1" ht="13.5" customHeight="1">
      <c r="A38" s="115"/>
      <c r="B38" s="278" t="s">
        <v>4</v>
      </c>
      <c r="C38" s="293"/>
      <c r="D38" s="280"/>
      <c r="E38" s="281"/>
      <c r="F38" s="43">
        <f>F20</f>
        <v>30000</v>
      </c>
      <c r="G38" s="43">
        <f>G22+G21+G24</f>
        <v>9744.130000000001</v>
      </c>
      <c r="H38" s="294"/>
      <c r="I38" s="295"/>
      <c r="J38" s="295"/>
      <c r="K38" s="57"/>
    </row>
    <row r="39" spans="1:11" s="14" customFormat="1" ht="13.5" customHeight="1">
      <c r="A39" s="115"/>
      <c r="B39" s="291" t="s">
        <v>3</v>
      </c>
      <c r="C39" s="291"/>
      <c r="D39" s="292"/>
      <c r="E39" s="292"/>
      <c r="F39" s="43">
        <f>F35-F37-F38</f>
        <v>52000</v>
      </c>
      <c r="G39" s="43">
        <f>G35-G37-G38</f>
        <v>33634.33</v>
      </c>
      <c r="H39" s="289"/>
      <c r="I39" s="290"/>
      <c r="J39" s="290"/>
      <c r="K39" s="36"/>
    </row>
    <row r="40" spans="1:11" s="14" customFormat="1" ht="13.5" customHeight="1" thickBot="1">
      <c r="A40" s="274" t="s">
        <v>121</v>
      </c>
      <c r="B40" s="275"/>
      <c r="C40" s="275"/>
      <c r="D40" s="275"/>
      <c r="E40" s="275"/>
      <c r="F40" s="47">
        <f>F16-F35</f>
        <v>4237.699999999997</v>
      </c>
      <c r="G40" s="47">
        <f>G16-G35</f>
        <v>87677.9</v>
      </c>
      <c r="H40" s="276"/>
      <c r="I40" s="277"/>
      <c r="J40" s="277"/>
      <c r="K40" s="56"/>
    </row>
    <row r="41" spans="1:11" s="63" customFormat="1" ht="13.5" customHeight="1">
      <c r="A41" s="58"/>
      <c r="B41" s="58"/>
      <c r="C41" s="58"/>
      <c r="D41" s="58"/>
      <c r="E41" s="58"/>
      <c r="F41" s="59"/>
      <c r="G41" s="59"/>
      <c r="H41" s="61"/>
      <c r="I41" s="64"/>
      <c r="J41" s="64"/>
      <c r="K41" s="62"/>
    </row>
    <row r="42" spans="1:11" s="10" customFormat="1" ht="11.25">
      <c r="A42" s="21"/>
      <c r="B42" s="49"/>
      <c r="C42" s="21"/>
      <c r="D42" s="21"/>
      <c r="E42" s="21"/>
      <c r="F42" s="50"/>
      <c r="G42" s="37"/>
      <c r="H42" s="21"/>
      <c r="I42" s="21"/>
      <c r="J42" s="21"/>
      <c r="K42" s="23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  <row r="63" ht="12.75">
      <c r="K63" s="1"/>
    </row>
  </sheetData>
  <sheetProtection/>
  <mergeCells count="38">
    <mergeCell ref="B36:E36"/>
    <mergeCell ref="H36:J36"/>
    <mergeCell ref="B37:E37"/>
    <mergeCell ref="A35:E35"/>
    <mergeCell ref="H40:J40"/>
    <mergeCell ref="B38:E38"/>
    <mergeCell ref="H38:J38"/>
    <mergeCell ref="B39:E39"/>
    <mergeCell ref="I6:I7"/>
    <mergeCell ref="H37:J37"/>
    <mergeCell ref="A12:E12"/>
    <mergeCell ref="H39:J39"/>
    <mergeCell ref="A40:E40"/>
    <mergeCell ref="A16:E16"/>
    <mergeCell ref="H16:J16"/>
    <mergeCell ref="E6:E7"/>
    <mergeCell ref="H35:J35"/>
    <mergeCell ref="G6:G7"/>
    <mergeCell ref="H12:J12"/>
    <mergeCell ref="A13:E13"/>
    <mergeCell ref="H13:J13"/>
    <mergeCell ref="H15:J15"/>
    <mergeCell ref="A15:E15"/>
    <mergeCell ref="A9:K9"/>
    <mergeCell ref="A11:E11"/>
    <mergeCell ref="H11:J11"/>
    <mergeCell ref="A14:E14"/>
    <mergeCell ref="H14:J14"/>
    <mergeCell ref="A3:K3"/>
    <mergeCell ref="A4:K4"/>
    <mergeCell ref="A6:A7"/>
    <mergeCell ref="B6:B7"/>
    <mergeCell ref="C6:C7"/>
    <mergeCell ref="D6:D7"/>
    <mergeCell ref="K6:K7"/>
    <mergeCell ref="F6:F7"/>
    <mergeCell ref="J6:J7"/>
    <mergeCell ref="H6:H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63"/>
  <sheetViews>
    <sheetView zoomScale="150" zoomScaleNormal="150" zoomScalePageLayoutView="0" workbookViewId="0" topLeftCell="A4">
      <selection activeCell="G19" sqref="G19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7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201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138</v>
      </c>
      <c r="I2" s="10"/>
      <c r="J2" s="10"/>
      <c r="K2" s="10"/>
    </row>
    <row r="3" spans="1:12" ht="12.75" customHeight="1">
      <c r="A3" s="253" t="s">
        <v>117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39"/>
    </row>
    <row r="4" spans="1:11" ht="12.75" customHeight="1">
      <c r="A4" s="253" t="s">
        <v>200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55" t="s">
        <v>9</v>
      </c>
      <c r="B6" s="257" t="s">
        <v>0</v>
      </c>
      <c r="C6" s="257" t="s">
        <v>1</v>
      </c>
      <c r="D6" s="257" t="s">
        <v>10</v>
      </c>
      <c r="E6" s="257" t="s">
        <v>11</v>
      </c>
      <c r="F6" s="257" t="s">
        <v>12</v>
      </c>
      <c r="G6" s="311" t="s">
        <v>13</v>
      </c>
      <c r="H6" s="257" t="s">
        <v>14</v>
      </c>
      <c r="I6" s="257" t="s">
        <v>15</v>
      </c>
      <c r="J6" s="257" t="s">
        <v>16</v>
      </c>
      <c r="K6" s="259" t="s">
        <v>2</v>
      </c>
    </row>
    <row r="7" spans="1:11" ht="13.5" thickBot="1">
      <c r="A7" s="256"/>
      <c r="B7" s="258"/>
      <c r="C7" s="258"/>
      <c r="D7" s="258"/>
      <c r="E7" s="258"/>
      <c r="F7" s="258"/>
      <c r="G7" s="312"/>
      <c r="H7" s="258"/>
      <c r="I7" s="258"/>
      <c r="J7" s="258"/>
      <c r="K7" s="260"/>
    </row>
    <row r="8" spans="1:11" ht="13.5" thickBot="1">
      <c r="A8" s="38"/>
      <c r="B8" s="38"/>
      <c r="C8" s="38"/>
      <c r="D8" s="38"/>
      <c r="E8" s="38"/>
      <c r="F8" s="38"/>
      <c r="G8" s="138"/>
      <c r="H8" s="38"/>
      <c r="I8" s="38"/>
      <c r="J8" s="38"/>
      <c r="K8" s="38"/>
    </row>
    <row r="9" spans="1:11" ht="21" customHeight="1" thickBot="1">
      <c r="A9" s="261" t="s">
        <v>100</v>
      </c>
      <c r="B9" s="262"/>
      <c r="C9" s="262"/>
      <c r="D9" s="262"/>
      <c r="E9" s="262"/>
      <c r="F9" s="262"/>
      <c r="G9" s="262"/>
      <c r="H9" s="262"/>
      <c r="I9" s="262"/>
      <c r="J9" s="262"/>
      <c r="K9" s="263"/>
    </row>
    <row r="10" spans="1:11" s="14" customFormat="1" ht="12.75" customHeight="1">
      <c r="A10" s="15"/>
      <c r="B10" s="16"/>
      <c r="C10" s="16" t="s">
        <v>58</v>
      </c>
      <c r="D10" s="17">
        <v>751.9</v>
      </c>
      <c r="E10" s="18" t="s">
        <v>6</v>
      </c>
      <c r="F10" s="19"/>
      <c r="G10" s="139"/>
      <c r="H10" s="11" t="s">
        <v>8</v>
      </c>
      <c r="I10" s="12">
        <v>0.5</v>
      </c>
      <c r="J10" s="13" t="s">
        <v>7</v>
      </c>
      <c r="K10" s="20"/>
    </row>
    <row r="11" spans="1:11" s="14" customFormat="1" ht="13.5" customHeight="1">
      <c r="A11" s="272" t="s">
        <v>118</v>
      </c>
      <c r="B11" s="273"/>
      <c r="C11" s="273"/>
      <c r="D11" s="273"/>
      <c r="E11" s="273"/>
      <c r="F11" s="42">
        <v>16537.4</v>
      </c>
      <c r="G11" s="42">
        <v>22168.11</v>
      </c>
      <c r="H11" s="270"/>
      <c r="I11" s="271"/>
      <c r="J11" s="271"/>
      <c r="K11" s="55"/>
    </row>
    <row r="12" spans="1:11" s="14" customFormat="1" ht="13.5" customHeight="1">
      <c r="A12" s="268" t="s">
        <v>34</v>
      </c>
      <c r="B12" s="269"/>
      <c r="C12" s="269"/>
      <c r="D12" s="269"/>
      <c r="E12" s="269"/>
      <c r="F12" s="42">
        <f>D10*I10*12</f>
        <v>4511.4</v>
      </c>
      <c r="G12" s="42">
        <v>2218.55</v>
      </c>
      <c r="H12" s="270"/>
      <c r="I12" s="271"/>
      <c r="J12" s="271"/>
      <c r="K12" s="55"/>
    </row>
    <row r="13" spans="1:11" s="14" customFormat="1" ht="13.5" customHeight="1">
      <c r="A13" s="268" t="s">
        <v>50</v>
      </c>
      <c r="B13" s="269"/>
      <c r="C13" s="269"/>
      <c r="D13" s="269"/>
      <c r="E13" s="269"/>
      <c r="F13" s="42">
        <f>-(D10*12*0)</f>
        <v>0</v>
      </c>
      <c r="G13" s="42">
        <v>0</v>
      </c>
      <c r="H13" s="270"/>
      <c r="I13" s="271"/>
      <c r="J13" s="271"/>
      <c r="K13" s="55"/>
    </row>
    <row r="14" spans="1:11" s="41" customFormat="1" ht="12.75" customHeight="1">
      <c r="A14" s="272" t="s">
        <v>55</v>
      </c>
      <c r="B14" s="273"/>
      <c r="C14" s="273"/>
      <c r="D14" s="273"/>
      <c r="E14" s="273"/>
      <c r="F14" s="42">
        <v>0</v>
      </c>
      <c r="G14" s="42">
        <v>0</v>
      </c>
      <c r="H14" s="270"/>
      <c r="I14" s="271"/>
      <c r="J14" s="271"/>
      <c r="K14" s="55"/>
    </row>
    <row r="15" spans="1:11" s="14" customFormat="1" ht="13.5" customHeight="1">
      <c r="A15" s="268" t="s">
        <v>104</v>
      </c>
      <c r="B15" s="269"/>
      <c r="C15" s="269"/>
      <c r="D15" s="269"/>
      <c r="E15" s="269"/>
      <c r="F15" s="42">
        <v>0</v>
      </c>
      <c r="G15" s="42">
        <v>0</v>
      </c>
      <c r="H15" s="270"/>
      <c r="I15" s="271"/>
      <c r="J15" s="271"/>
      <c r="K15" s="55"/>
    </row>
    <row r="16" spans="1:11" s="40" customFormat="1" ht="12.75" customHeight="1" thickBot="1">
      <c r="A16" s="287" t="s">
        <v>107</v>
      </c>
      <c r="B16" s="288"/>
      <c r="C16" s="288"/>
      <c r="D16" s="288"/>
      <c r="E16" s="288"/>
      <c r="F16" s="46">
        <f>F11+F12+F13+F14+F15</f>
        <v>21048.800000000003</v>
      </c>
      <c r="G16" s="46">
        <f>G11+G12+G13+G14+G15</f>
        <v>24386.66</v>
      </c>
      <c r="H16" s="276"/>
      <c r="I16" s="277"/>
      <c r="J16" s="277"/>
      <c r="K16" s="56"/>
    </row>
    <row r="17" spans="1:11" s="86" customFormat="1" ht="13.5" customHeight="1" thickBot="1">
      <c r="A17" s="58"/>
      <c r="B17" s="58"/>
      <c r="C17" s="58"/>
      <c r="D17" s="58"/>
      <c r="E17" s="58"/>
      <c r="F17" s="59"/>
      <c r="G17" s="59"/>
      <c r="H17" s="61"/>
      <c r="I17" s="64"/>
      <c r="J17" s="64"/>
      <c r="K17" s="62"/>
    </row>
    <row r="18" spans="1:11" ht="12.75">
      <c r="A18" s="87">
        <v>1</v>
      </c>
      <c r="B18" s="99" t="s">
        <v>27</v>
      </c>
      <c r="C18" s="97" t="s">
        <v>21</v>
      </c>
      <c r="D18" s="89"/>
      <c r="E18" s="90"/>
      <c r="F18" s="101">
        <v>15000</v>
      </c>
      <c r="G18" s="220"/>
      <c r="H18" s="92">
        <v>2013</v>
      </c>
      <c r="I18" s="90"/>
      <c r="J18" s="89" t="s">
        <v>4</v>
      </c>
      <c r="K18" s="93"/>
    </row>
    <row r="19" spans="1:11" ht="12.75">
      <c r="A19" s="29">
        <v>2</v>
      </c>
      <c r="B19" s="28"/>
      <c r="C19" s="160" t="s">
        <v>163</v>
      </c>
      <c r="D19" s="155"/>
      <c r="E19" s="95"/>
      <c r="F19" s="156"/>
      <c r="G19" s="221">
        <v>450</v>
      </c>
      <c r="H19" s="158"/>
      <c r="I19" s="95"/>
      <c r="J19" s="155" t="s">
        <v>3</v>
      </c>
      <c r="K19" s="25"/>
    </row>
    <row r="20" spans="1:11" ht="12.75">
      <c r="A20" s="30">
        <v>3</v>
      </c>
      <c r="B20" s="31"/>
      <c r="C20" s="31"/>
      <c r="D20" s="4"/>
      <c r="E20" s="4"/>
      <c r="F20" s="27"/>
      <c r="G20" s="32"/>
      <c r="H20" s="4"/>
      <c r="I20" s="4"/>
      <c r="J20" s="26"/>
      <c r="K20" s="34"/>
    </row>
    <row r="21" spans="1:11" ht="12.75">
      <c r="A21" s="30">
        <v>4</v>
      </c>
      <c r="B21" s="31"/>
      <c r="C21" s="31"/>
      <c r="D21" s="4"/>
      <c r="E21" s="4"/>
      <c r="F21" s="32"/>
      <c r="G21" s="32"/>
      <c r="H21" s="4"/>
      <c r="I21" s="4"/>
      <c r="J21" s="4"/>
      <c r="K21" s="33"/>
    </row>
    <row r="22" spans="1:11" ht="12.75">
      <c r="A22" s="30">
        <v>5</v>
      </c>
      <c r="B22" s="31"/>
      <c r="C22" s="31"/>
      <c r="D22" s="4"/>
      <c r="E22" s="4"/>
      <c r="F22" s="32"/>
      <c r="G22" s="32"/>
      <c r="H22" s="4"/>
      <c r="I22" s="4"/>
      <c r="J22" s="4"/>
      <c r="K22" s="33"/>
    </row>
    <row r="23" spans="1:11" ht="12.75">
      <c r="A23" s="30">
        <v>6</v>
      </c>
      <c r="B23" s="31"/>
      <c r="C23" s="31"/>
      <c r="D23" s="4"/>
      <c r="E23" s="4"/>
      <c r="F23" s="32"/>
      <c r="G23" s="32"/>
      <c r="H23" s="4"/>
      <c r="I23" s="4"/>
      <c r="J23" s="35"/>
      <c r="K23" s="33"/>
    </row>
    <row r="24" spans="1:11" ht="12.75">
      <c r="A24" s="29">
        <v>7</v>
      </c>
      <c r="B24" s="28"/>
      <c r="C24" s="52"/>
      <c r="D24" s="26"/>
      <c r="E24" s="2"/>
      <c r="F24" s="66"/>
      <c r="G24" s="3"/>
      <c r="H24" s="2"/>
      <c r="I24" s="2"/>
      <c r="J24" s="26"/>
      <c r="K24" s="25"/>
    </row>
    <row r="25" spans="1:11" ht="12.75">
      <c r="A25" s="29">
        <v>8</v>
      </c>
      <c r="B25" s="51"/>
      <c r="C25" s="53"/>
      <c r="D25" s="35"/>
      <c r="E25" s="4"/>
      <c r="F25" s="65"/>
      <c r="G25" s="32"/>
      <c r="H25" s="4"/>
      <c r="I25" s="4"/>
      <c r="J25" s="26"/>
      <c r="K25" s="25"/>
    </row>
    <row r="26" spans="1:11" ht="12.75">
      <c r="A26" s="29">
        <v>9</v>
      </c>
      <c r="B26" s="51"/>
      <c r="C26" s="53"/>
      <c r="D26" s="35"/>
      <c r="E26" s="4"/>
      <c r="F26" s="65"/>
      <c r="G26" s="32"/>
      <c r="H26" s="4"/>
      <c r="I26" s="4"/>
      <c r="J26" s="35"/>
      <c r="K26" s="25"/>
    </row>
    <row r="27" spans="1:11" ht="12.75">
      <c r="A27" s="29">
        <v>10</v>
      </c>
      <c r="B27" s="51"/>
      <c r="C27" s="53"/>
      <c r="D27" s="35"/>
      <c r="E27" s="4"/>
      <c r="F27" s="65"/>
      <c r="G27" s="32"/>
      <c r="H27" s="4"/>
      <c r="I27" s="4"/>
      <c r="J27" s="35"/>
      <c r="K27" s="25"/>
    </row>
    <row r="28" spans="1:11" ht="12.75">
      <c r="A28" s="29">
        <v>11</v>
      </c>
      <c r="B28" s="51"/>
      <c r="C28" s="53"/>
      <c r="D28" s="35"/>
      <c r="E28" s="4"/>
      <c r="F28" s="65"/>
      <c r="G28" s="32"/>
      <c r="H28" s="4"/>
      <c r="I28" s="4"/>
      <c r="J28" s="35"/>
      <c r="K28" s="25"/>
    </row>
    <row r="29" spans="1:11" ht="12.75">
      <c r="A29" s="29">
        <v>12</v>
      </c>
      <c r="B29" s="51"/>
      <c r="C29" s="53"/>
      <c r="D29" s="35"/>
      <c r="E29" s="4"/>
      <c r="F29" s="65"/>
      <c r="G29" s="32"/>
      <c r="H29" s="4"/>
      <c r="I29" s="4"/>
      <c r="J29" s="35"/>
      <c r="K29" s="25"/>
    </row>
    <row r="30" spans="1:11" ht="12.75">
      <c r="A30" s="29">
        <v>13</v>
      </c>
      <c r="B30" s="51"/>
      <c r="C30" s="53"/>
      <c r="D30" s="35"/>
      <c r="E30" s="4"/>
      <c r="F30" s="65"/>
      <c r="G30" s="32"/>
      <c r="H30" s="4"/>
      <c r="I30" s="4"/>
      <c r="J30" s="35"/>
      <c r="K30" s="25"/>
    </row>
    <row r="31" spans="1:11" ht="12.75">
      <c r="A31" s="29">
        <v>14</v>
      </c>
      <c r="B31" s="51"/>
      <c r="C31" s="53"/>
      <c r="D31" s="35"/>
      <c r="E31" s="4"/>
      <c r="F31" s="65"/>
      <c r="G31" s="32"/>
      <c r="H31" s="4"/>
      <c r="I31" s="4"/>
      <c r="J31" s="35"/>
      <c r="K31" s="25"/>
    </row>
    <row r="32" spans="1:11" ht="12.75">
      <c r="A32" s="29">
        <v>15</v>
      </c>
      <c r="B32" s="28"/>
      <c r="C32" s="52"/>
      <c r="D32" s="26"/>
      <c r="E32" s="2"/>
      <c r="F32" s="66"/>
      <c r="G32" s="3"/>
      <c r="H32" s="2"/>
      <c r="I32" s="2"/>
      <c r="J32" s="26"/>
      <c r="K32" s="25"/>
    </row>
    <row r="33" spans="1:11" ht="13.5" thickBot="1">
      <c r="A33" s="104">
        <v>16</v>
      </c>
      <c r="B33" s="105"/>
      <c r="C33" s="106"/>
      <c r="D33" s="107"/>
      <c r="E33" s="108"/>
      <c r="F33" s="109"/>
      <c r="G33" s="110"/>
      <c r="H33" s="108"/>
      <c r="I33" s="108"/>
      <c r="J33" s="107"/>
      <c r="K33" s="111"/>
    </row>
    <row r="34" spans="1:11" ht="13.5" thickBot="1">
      <c r="A34" s="79"/>
      <c r="B34" s="80"/>
      <c r="C34" s="44"/>
      <c r="D34" s="81"/>
      <c r="E34" s="21"/>
      <c r="F34" s="77"/>
      <c r="G34" s="37"/>
      <c r="H34" s="21"/>
      <c r="I34" s="21"/>
      <c r="J34" s="81"/>
      <c r="K34" s="48"/>
    </row>
    <row r="35" spans="1:11" s="14" customFormat="1" ht="13.5" customHeight="1">
      <c r="A35" s="264" t="s">
        <v>53</v>
      </c>
      <c r="B35" s="265"/>
      <c r="C35" s="265"/>
      <c r="D35" s="265"/>
      <c r="E35" s="265"/>
      <c r="F35" s="45">
        <f>SUM(F18:F33)</f>
        <v>15000</v>
      </c>
      <c r="G35" s="45">
        <f>SUM(G18:G33)</f>
        <v>450</v>
      </c>
      <c r="H35" s="266"/>
      <c r="I35" s="267"/>
      <c r="J35" s="267"/>
      <c r="K35" s="94"/>
    </row>
    <row r="36" spans="1:11" s="14" customFormat="1" ht="13.5" customHeight="1">
      <c r="A36" s="112"/>
      <c r="B36" s="278" t="s">
        <v>24</v>
      </c>
      <c r="C36" s="279"/>
      <c r="D36" s="280"/>
      <c r="E36" s="281"/>
      <c r="F36" s="113"/>
      <c r="G36" s="113"/>
      <c r="H36" s="282"/>
      <c r="I36" s="283"/>
      <c r="J36" s="283"/>
      <c r="K36" s="54"/>
    </row>
    <row r="37" spans="1:11" s="14" customFormat="1" ht="13.5" customHeight="1">
      <c r="A37" s="112"/>
      <c r="B37" s="278"/>
      <c r="C37" s="284"/>
      <c r="D37" s="280"/>
      <c r="E37" s="281"/>
      <c r="F37" s="114"/>
      <c r="G37" s="114"/>
      <c r="H37" s="270"/>
      <c r="I37" s="279"/>
      <c r="J37" s="279"/>
      <c r="K37" s="55"/>
    </row>
    <row r="38" spans="1:11" s="14" customFormat="1" ht="13.5" customHeight="1">
      <c r="A38" s="115"/>
      <c r="B38" s="278" t="s">
        <v>4</v>
      </c>
      <c r="C38" s="293"/>
      <c r="D38" s="280"/>
      <c r="E38" s="281"/>
      <c r="F38" s="43">
        <f>F18</f>
        <v>15000</v>
      </c>
      <c r="G38" s="43">
        <v>0</v>
      </c>
      <c r="H38" s="294"/>
      <c r="I38" s="295"/>
      <c r="J38" s="295"/>
      <c r="K38" s="57"/>
    </row>
    <row r="39" spans="1:11" s="14" customFormat="1" ht="13.5" customHeight="1">
      <c r="A39" s="115"/>
      <c r="B39" s="291" t="s">
        <v>3</v>
      </c>
      <c r="C39" s="291"/>
      <c r="D39" s="292"/>
      <c r="E39" s="292"/>
      <c r="F39" s="43">
        <f>F35-F37-F38</f>
        <v>0</v>
      </c>
      <c r="G39" s="43">
        <f>G35-G37-G38</f>
        <v>450</v>
      </c>
      <c r="H39" s="289"/>
      <c r="I39" s="290"/>
      <c r="J39" s="290"/>
      <c r="K39" s="36"/>
    </row>
    <row r="40" spans="1:11" s="14" customFormat="1" ht="13.5" customHeight="1" thickBot="1">
      <c r="A40" s="274" t="s">
        <v>121</v>
      </c>
      <c r="B40" s="275"/>
      <c r="C40" s="275"/>
      <c r="D40" s="275"/>
      <c r="E40" s="275"/>
      <c r="F40" s="47">
        <f>F16-F35</f>
        <v>6048.800000000003</v>
      </c>
      <c r="G40" s="47">
        <f>G16-G35</f>
        <v>23936.66</v>
      </c>
      <c r="H40" s="276"/>
      <c r="I40" s="277"/>
      <c r="J40" s="277"/>
      <c r="K40" s="56"/>
    </row>
    <row r="41" spans="1:11" s="63" customFormat="1" ht="13.5" customHeight="1">
      <c r="A41" s="58"/>
      <c r="B41" s="58"/>
      <c r="C41" s="58"/>
      <c r="D41" s="58"/>
      <c r="E41" s="58"/>
      <c r="F41" s="59"/>
      <c r="G41" s="59"/>
      <c r="H41" s="61"/>
      <c r="I41" s="64"/>
      <c r="J41" s="64"/>
      <c r="K41" s="62"/>
    </row>
    <row r="42" spans="1:11" s="10" customFormat="1" ht="11.25">
      <c r="A42" s="21"/>
      <c r="B42" s="49"/>
      <c r="C42" s="21"/>
      <c r="D42" s="21"/>
      <c r="E42" s="21"/>
      <c r="F42" s="50"/>
      <c r="G42" s="37"/>
      <c r="H42" s="21"/>
      <c r="I42" s="21"/>
      <c r="J42" s="21"/>
      <c r="K42" s="23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  <row r="63" ht="12.75">
      <c r="K63" s="1"/>
    </row>
  </sheetData>
  <sheetProtection/>
  <mergeCells count="38"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  <mergeCell ref="A11:E11"/>
    <mergeCell ref="H11:J11"/>
    <mergeCell ref="A12:E12"/>
    <mergeCell ref="H12:J12"/>
    <mergeCell ref="I6:I7"/>
    <mergeCell ref="J6:J7"/>
    <mergeCell ref="G6:G7"/>
    <mergeCell ref="H6:H7"/>
    <mergeCell ref="A15:E15"/>
    <mergeCell ref="H15:J15"/>
    <mergeCell ref="A13:E13"/>
    <mergeCell ref="H13:J13"/>
    <mergeCell ref="A14:E14"/>
    <mergeCell ref="H14:J14"/>
    <mergeCell ref="B36:E36"/>
    <mergeCell ref="H36:J36"/>
    <mergeCell ref="B37:E37"/>
    <mergeCell ref="H37:J37"/>
    <mergeCell ref="A16:E16"/>
    <mergeCell ref="H16:J16"/>
    <mergeCell ref="A35:E35"/>
    <mergeCell ref="H35:J35"/>
    <mergeCell ref="A40:E40"/>
    <mergeCell ref="H40:J40"/>
    <mergeCell ref="B38:E38"/>
    <mergeCell ref="H38:J38"/>
    <mergeCell ref="B39:E39"/>
    <mergeCell ref="H39:J39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63"/>
  <sheetViews>
    <sheetView zoomScale="150" zoomScaleNormal="150" zoomScalePageLayoutView="0" workbookViewId="0" topLeftCell="A9">
      <selection activeCell="G12" sqref="G12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7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201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138</v>
      </c>
      <c r="I2" s="10"/>
      <c r="J2" s="10"/>
      <c r="K2" s="10"/>
    </row>
    <row r="3" spans="1:12" ht="12.75" customHeight="1">
      <c r="A3" s="253" t="s">
        <v>117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39"/>
    </row>
    <row r="4" spans="1:11" ht="12.75" customHeight="1">
      <c r="A4" s="253" t="s">
        <v>200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55" t="s">
        <v>9</v>
      </c>
      <c r="B6" s="257" t="s">
        <v>0</v>
      </c>
      <c r="C6" s="257" t="s">
        <v>1</v>
      </c>
      <c r="D6" s="257" t="s">
        <v>10</v>
      </c>
      <c r="E6" s="257" t="s">
        <v>11</v>
      </c>
      <c r="F6" s="257" t="s">
        <v>12</v>
      </c>
      <c r="G6" s="311" t="s">
        <v>13</v>
      </c>
      <c r="H6" s="257" t="s">
        <v>14</v>
      </c>
      <c r="I6" s="257" t="s">
        <v>15</v>
      </c>
      <c r="J6" s="257" t="s">
        <v>16</v>
      </c>
      <c r="K6" s="259" t="s">
        <v>2</v>
      </c>
    </row>
    <row r="7" spans="1:11" ht="13.5" thickBot="1">
      <c r="A7" s="256"/>
      <c r="B7" s="258"/>
      <c r="C7" s="258"/>
      <c r="D7" s="258"/>
      <c r="E7" s="258"/>
      <c r="F7" s="258"/>
      <c r="G7" s="312"/>
      <c r="H7" s="258"/>
      <c r="I7" s="258"/>
      <c r="J7" s="258"/>
      <c r="K7" s="260"/>
    </row>
    <row r="8" spans="1:11" ht="13.5" thickBot="1">
      <c r="A8" s="38"/>
      <c r="B8" s="38"/>
      <c r="C8" s="38"/>
      <c r="D8" s="38"/>
      <c r="E8" s="38"/>
      <c r="F8" s="38"/>
      <c r="G8" s="138"/>
      <c r="H8" s="38"/>
      <c r="I8" s="38"/>
      <c r="J8" s="38"/>
      <c r="K8" s="38"/>
    </row>
    <row r="9" spans="1:11" ht="21" customHeight="1" thickBot="1">
      <c r="A9" s="261" t="s">
        <v>103</v>
      </c>
      <c r="B9" s="262"/>
      <c r="C9" s="262"/>
      <c r="D9" s="262"/>
      <c r="E9" s="262"/>
      <c r="F9" s="262"/>
      <c r="G9" s="262"/>
      <c r="H9" s="262"/>
      <c r="I9" s="262"/>
      <c r="J9" s="262"/>
      <c r="K9" s="263"/>
    </row>
    <row r="10" spans="1:11" s="14" customFormat="1" ht="12.75" customHeight="1">
      <c r="A10" s="15"/>
      <c r="B10" s="16"/>
      <c r="C10" s="16" t="s">
        <v>58</v>
      </c>
      <c r="D10" s="17">
        <v>225</v>
      </c>
      <c r="E10" s="18" t="s">
        <v>6</v>
      </c>
      <c r="F10" s="19"/>
      <c r="G10" s="139"/>
      <c r="H10" s="11" t="s">
        <v>8</v>
      </c>
      <c r="I10" s="12">
        <v>0.5</v>
      </c>
      <c r="J10" s="13" t="s">
        <v>7</v>
      </c>
      <c r="K10" s="20"/>
    </row>
    <row r="11" spans="1:11" s="14" customFormat="1" ht="13.5" customHeight="1">
      <c r="A11" s="272" t="s">
        <v>118</v>
      </c>
      <c r="B11" s="273"/>
      <c r="C11" s="273"/>
      <c r="D11" s="273"/>
      <c r="E11" s="273"/>
      <c r="F11" s="42">
        <v>-2435</v>
      </c>
      <c r="G11" s="42">
        <v>7565</v>
      </c>
      <c r="H11" s="270"/>
      <c r="I11" s="271"/>
      <c r="J11" s="271"/>
      <c r="K11" s="55"/>
    </row>
    <row r="12" spans="1:11" s="14" customFormat="1" ht="13.5" customHeight="1">
      <c r="A12" s="268" t="s">
        <v>34</v>
      </c>
      <c r="B12" s="269"/>
      <c r="C12" s="269"/>
      <c r="D12" s="269"/>
      <c r="E12" s="269"/>
      <c r="F12" s="42">
        <f>D10*I10*12</f>
        <v>1350</v>
      </c>
      <c r="G12" s="42">
        <v>674.5</v>
      </c>
      <c r="H12" s="270"/>
      <c r="I12" s="271"/>
      <c r="J12" s="271"/>
      <c r="K12" s="55"/>
    </row>
    <row r="13" spans="1:11" s="14" customFormat="1" ht="13.5" customHeight="1">
      <c r="A13" s="268" t="s">
        <v>50</v>
      </c>
      <c r="B13" s="269"/>
      <c r="C13" s="269"/>
      <c r="D13" s="269"/>
      <c r="E13" s="269"/>
      <c r="F13" s="42">
        <f>-(D10*12*0)</f>
        <v>0</v>
      </c>
      <c r="G13" s="42">
        <v>0</v>
      </c>
      <c r="H13" s="270"/>
      <c r="I13" s="271"/>
      <c r="J13" s="271"/>
      <c r="K13" s="55"/>
    </row>
    <row r="14" spans="1:11" s="41" customFormat="1" ht="12.75" customHeight="1">
      <c r="A14" s="272" t="s">
        <v>55</v>
      </c>
      <c r="B14" s="273"/>
      <c r="C14" s="273"/>
      <c r="D14" s="273"/>
      <c r="E14" s="273"/>
      <c r="F14" s="42">
        <v>0</v>
      </c>
      <c r="G14" s="42">
        <v>0</v>
      </c>
      <c r="H14" s="270"/>
      <c r="I14" s="271"/>
      <c r="J14" s="271"/>
      <c r="K14" s="55"/>
    </row>
    <row r="15" spans="1:11" s="14" customFormat="1" ht="13.5" customHeight="1">
      <c r="A15" s="268" t="s">
        <v>104</v>
      </c>
      <c r="B15" s="269"/>
      <c r="C15" s="269"/>
      <c r="D15" s="269"/>
      <c r="E15" s="269"/>
      <c r="F15" s="42">
        <v>0</v>
      </c>
      <c r="G15" s="42">
        <v>0</v>
      </c>
      <c r="H15" s="270"/>
      <c r="I15" s="271"/>
      <c r="J15" s="271"/>
      <c r="K15" s="55"/>
    </row>
    <row r="16" spans="1:11" s="40" customFormat="1" ht="12.75" customHeight="1" thickBot="1">
      <c r="A16" s="287" t="s">
        <v>107</v>
      </c>
      <c r="B16" s="288"/>
      <c r="C16" s="288"/>
      <c r="D16" s="288"/>
      <c r="E16" s="288"/>
      <c r="F16" s="46">
        <f>F11+F12+F13+F14+F15</f>
        <v>-1085</v>
      </c>
      <c r="G16" s="46">
        <f>G11+G12+G13+G14+G15</f>
        <v>8239.5</v>
      </c>
      <c r="H16" s="276"/>
      <c r="I16" s="277"/>
      <c r="J16" s="277"/>
      <c r="K16" s="56"/>
    </row>
    <row r="17" spans="1:11" s="86" customFormat="1" ht="13.5" customHeight="1" thickBot="1">
      <c r="A17" s="58"/>
      <c r="B17" s="58"/>
      <c r="C17" s="58"/>
      <c r="D17" s="58"/>
      <c r="E17" s="58"/>
      <c r="F17" s="59"/>
      <c r="G17" s="59"/>
      <c r="H17" s="61"/>
      <c r="I17" s="64"/>
      <c r="J17" s="64"/>
      <c r="K17" s="62"/>
    </row>
    <row r="18" spans="1:11" ht="12.75">
      <c r="A18" s="87">
        <v>1</v>
      </c>
      <c r="B18" s="99" t="s">
        <v>28</v>
      </c>
      <c r="C18" s="97" t="s">
        <v>21</v>
      </c>
      <c r="D18" s="89"/>
      <c r="E18" s="90"/>
      <c r="F18" s="101">
        <v>0</v>
      </c>
      <c r="G18" s="91"/>
      <c r="H18" s="92">
        <v>2013</v>
      </c>
      <c r="I18" s="90"/>
      <c r="J18" s="89" t="s">
        <v>4</v>
      </c>
      <c r="K18" s="93"/>
    </row>
    <row r="19" spans="1:11" ht="12.75">
      <c r="A19" s="29">
        <v>2</v>
      </c>
      <c r="B19" s="28"/>
      <c r="C19" s="31"/>
      <c r="D19" s="26"/>
      <c r="E19" s="2"/>
      <c r="F19" s="27"/>
      <c r="G19" s="3"/>
      <c r="H19" s="4"/>
      <c r="I19" s="2"/>
      <c r="J19" s="26"/>
      <c r="K19" s="25"/>
    </row>
    <row r="20" spans="1:11" ht="12.75">
      <c r="A20" s="30">
        <v>3</v>
      </c>
      <c r="B20" s="31"/>
      <c r="C20" s="31"/>
      <c r="D20" s="4"/>
      <c r="E20" s="4"/>
      <c r="F20" s="27"/>
      <c r="G20" s="32"/>
      <c r="H20" s="4"/>
      <c r="I20" s="4"/>
      <c r="J20" s="26"/>
      <c r="K20" s="34"/>
    </row>
    <row r="21" spans="1:11" ht="12.75">
      <c r="A21" s="30">
        <v>4</v>
      </c>
      <c r="B21" s="31"/>
      <c r="C21" s="31"/>
      <c r="D21" s="4"/>
      <c r="E21" s="4"/>
      <c r="F21" s="32"/>
      <c r="G21" s="32"/>
      <c r="H21" s="4"/>
      <c r="I21" s="4"/>
      <c r="J21" s="4"/>
      <c r="K21" s="33"/>
    </row>
    <row r="22" spans="1:11" ht="12.75">
      <c r="A22" s="30">
        <v>5</v>
      </c>
      <c r="B22" s="31"/>
      <c r="C22" s="31"/>
      <c r="D22" s="4"/>
      <c r="E22" s="4"/>
      <c r="F22" s="32"/>
      <c r="G22" s="32"/>
      <c r="H22" s="4"/>
      <c r="I22" s="4"/>
      <c r="J22" s="4"/>
      <c r="K22" s="33"/>
    </row>
    <row r="23" spans="1:11" ht="12.75">
      <c r="A23" s="30">
        <v>6</v>
      </c>
      <c r="B23" s="31"/>
      <c r="C23" s="31"/>
      <c r="D23" s="4"/>
      <c r="E23" s="4"/>
      <c r="F23" s="32"/>
      <c r="G23" s="32"/>
      <c r="H23" s="4"/>
      <c r="I23" s="4"/>
      <c r="J23" s="35"/>
      <c r="K23" s="33"/>
    </row>
    <row r="24" spans="1:11" ht="12.75">
      <c r="A24" s="29">
        <v>7</v>
      </c>
      <c r="B24" s="28"/>
      <c r="C24" s="52"/>
      <c r="D24" s="26"/>
      <c r="E24" s="2"/>
      <c r="F24" s="66"/>
      <c r="G24" s="3"/>
      <c r="H24" s="2"/>
      <c r="I24" s="2"/>
      <c r="J24" s="26"/>
      <c r="K24" s="25"/>
    </row>
    <row r="25" spans="1:11" ht="12.75">
      <c r="A25" s="29">
        <v>8</v>
      </c>
      <c r="B25" s="51"/>
      <c r="C25" s="53"/>
      <c r="D25" s="35"/>
      <c r="E25" s="4"/>
      <c r="F25" s="65"/>
      <c r="G25" s="32"/>
      <c r="H25" s="4"/>
      <c r="I25" s="4"/>
      <c r="J25" s="26"/>
      <c r="K25" s="25"/>
    </row>
    <row r="26" spans="1:11" ht="12.75">
      <c r="A26" s="29">
        <v>9</v>
      </c>
      <c r="B26" s="51"/>
      <c r="C26" s="53"/>
      <c r="D26" s="35"/>
      <c r="E26" s="4"/>
      <c r="F26" s="65"/>
      <c r="G26" s="32"/>
      <c r="H26" s="4"/>
      <c r="I26" s="4"/>
      <c r="J26" s="35"/>
      <c r="K26" s="25"/>
    </row>
    <row r="27" spans="1:11" ht="12.75">
      <c r="A27" s="29">
        <v>10</v>
      </c>
      <c r="B27" s="51"/>
      <c r="C27" s="53"/>
      <c r="D27" s="35"/>
      <c r="E27" s="4"/>
      <c r="F27" s="65"/>
      <c r="G27" s="32"/>
      <c r="H27" s="4"/>
      <c r="I27" s="4"/>
      <c r="J27" s="35"/>
      <c r="K27" s="25"/>
    </row>
    <row r="28" spans="1:11" ht="12.75">
      <c r="A28" s="29">
        <v>11</v>
      </c>
      <c r="B28" s="51"/>
      <c r="C28" s="53"/>
      <c r="D28" s="35"/>
      <c r="E28" s="4"/>
      <c r="F28" s="65"/>
      <c r="G28" s="32"/>
      <c r="H28" s="4"/>
      <c r="I28" s="4"/>
      <c r="J28" s="35"/>
      <c r="K28" s="25"/>
    </row>
    <row r="29" spans="1:11" ht="12.75">
      <c r="A29" s="29">
        <v>12</v>
      </c>
      <c r="B29" s="51"/>
      <c r="C29" s="53"/>
      <c r="D29" s="35"/>
      <c r="E29" s="4"/>
      <c r="F29" s="65"/>
      <c r="G29" s="32"/>
      <c r="H29" s="4"/>
      <c r="I29" s="4"/>
      <c r="J29" s="35"/>
      <c r="K29" s="25"/>
    </row>
    <row r="30" spans="1:11" ht="12.75">
      <c r="A30" s="29">
        <v>13</v>
      </c>
      <c r="B30" s="51"/>
      <c r="C30" s="53"/>
      <c r="D30" s="35"/>
      <c r="E30" s="4"/>
      <c r="F30" s="65"/>
      <c r="G30" s="32"/>
      <c r="H30" s="4"/>
      <c r="I30" s="4"/>
      <c r="J30" s="35"/>
      <c r="K30" s="25"/>
    </row>
    <row r="31" spans="1:11" ht="12.75">
      <c r="A31" s="29">
        <v>14</v>
      </c>
      <c r="B31" s="51"/>
      <c r="C31" s="53"/>
      <c r="D31" s="35"/>
      <c r="E31" s="4"/>
      <c r="F31" s="65"/>
      <c r="G31" s="32"/>
      <c r="H31" s="4"/>
      <c r="I31" s="4"/>
      <c r="J31" s="35"/>
      <c r="K31" s="25"/>
    </row>
    <row r="32" spans="1:11" ht="12.75">
      <c r="A32" s="29">
        <v>15</v>
      </c>
      <c r="B32" s="28"/>
      <c r="C32" s="52"/>
      <c r="D32" s="26"/>
      <c r="E32" s="2"/>
      <c r="F32" s="66"/>
      <c r="G32" s="3"/>
      <c r="H32" s="2"/>
      <c r="I32" s="2"/>
      <c r="J32" s="26"/>
      <c r="K32" s="25"/>
    </row>
    <row r="33" spans="1:11" ht="13.5" thickBot="1">
      <c r="A33" s="104">
        <v>16</v>
      </c>
      <c r="B33" s="105"/>
      <c r="C33" s="106"/>
      <c r="D33" s="107"/>
      <c r="E33" s="108"/>
      <c r="F33" s="109"/>
      <c r="G33" s="110"/>
      <c r="H33" s="108"/>
      <c r="I33" s="108"/>
      <c r="J33" s="107"/>
      <c r="K33" s="111"/>
    </row>
    <row r="34" spans="1:11" ht="13.5" thickBot="1">
      <c r="A34" s="79"/>
      <c r="B34" s="80"/>
      <c r="C34" s="44"/>
      <c r="D34" s="81"/>
      <c r="E34" s="21"/>
      <c r="F34" s="77"/>
      <c r="G34" s="37"/>
      <c r="H34" s="21"/>
      <c r="I34" s="21"/>
      <c r="J34" s="81"/>
      <c r="K34" s="48"/>
    </row>
    <row r="35" spans="1:11" s="14" customFormat="1" ht="13.5" customHeight="1">
      <c r="A35" s="264" t="s">
        <v>53</v>
      </c>
      <c r="B35" s="265"/>
      <c r="C35" s="265"/>
      <c r="D35" s="265"/>
      <c r="E35" s="265"/>
      <c r="F35" s="45">
        <f>SUM(F18:F33)</f>
        <v>0</v>
      </c>
      <c r="G35" s="45">
        <f>SUM(G18:G33)</f>
        <v>0</v>
      </c>
      <c r="H35" s="266"/>
      <c r="I35" s="267"/>
      <c r="J35" s="267"/>
      <c r="K35" s="94"/>
    </row>
    <row r="36" spans="1:11" s="14" customFormat="1" ht="13.5" customHeight="1">
      <c r="A36" s="112"/>
      <c r="B36" s="278" t="s">
        <v>24</v>
      </c>
      <c r="C36" s="279"/>
      <c r="D36" s="280"/>
      <c r="E36" s="281"/>
      <c r="F36" s="113"/>
      <c r="G36" s="113"/>
      <c r="H36" s="282"/>
      <c r="I36" s="283"/>
      <c r="J36" s="283"/>
      <c r="K36" s="54"/>
    </row>
    <row r="37" spans="1:11" s="14" customFormat="1" ht="13.5" customHeight="1">
      <c r="A37" s="112"/>
      <c r="B37" s="278"/>
      <c r="C37" s="284"/>
      <c r="D37" s="280"/>
      <c r="E37" s="281"/>
      <c r="F37" s="114"/>
      <c r="G37" s="114"/>
      <c r="H37" s="270"/>
      <c r="I37" s="279"/>
      <c r="J37" s="279"/>
      <c r="K37" s="55"/>
    </row>
    <row r="38" spans="1:11" s="14" customFormat="1" ht="13.5" customHeight="1">
      <c r="A38" s="115"/>
      <c r="B38" s="278" t="s">
        <v>4</v>
      </c>
      <c r="C38" s="293"/>
      <c r="D38" s="280"/>
      <c r="E38" s="281"/>
      <c r="F38" s="43">
        <f>F18</f>
        <v>0</v>
      </c>
      <c r="G38" s="43">
        <f>G18</f>
        <v>0</v>
      </c>
      <c r="H38" s="294"/>
      <c r="I38" s="295"/>
      <c r="J38" s="295"/>
      <c r="K38" s="57"/>
    </row>
    <row r="39" spans="1:11" s="14" customFormat="1" ht="13.5" customHeight="1">
      <c r="A39" s="115"/>
      <c r="B39" s="291" t="s">
        <v>3</v>
      </c>
      <c r="C39" s="291"/>
      <c r="D39" s="292"/>
      <c r="E39" s="292"/>
      <c r="F39" s="43">
        <f>F35-F37-F38</f>
        <v>0</v>
      </c>
      <c r="G39" s="43">
        <f>G35-G37-G38</f>
        <v>0</v>
      </c>
      <c r="H39" s="289"/>
      <c r="I39" s="290"/>
      <c r="J39" s="290"/>
      <c r="K39" s="36"/>
    </row>
    <row r="40" spans="1:11" s="14" customFormat="1" ht="13.5" customHeight="1" thickBot="1">
      <c r="A40" s="274" t="s">
        <v>121</v>
      </c>
      <c r="B40" s="275"/>
      <c r="C40" s="275"/>
      <c r="D40" s="275"/>
      <c r="E40" s="275"/>
      <c r="F40" s="47">
        <f>F16-F35</f>
        <v>-1085</v>
      </c>
      <c r="G40" s="47">
        <f>G16-G35</f>
        <v>8239.5</v>
      </c>
      <c r="H40" s="276"/>
      <c r="I40" s="277"/>
      <c r="J40" s="277"/>
      <c r="K40" s="56"/>
    </row>
    <row r="41" spans="1:11" s="63" customFormat="1" ht="13.5" customHeight="1">
      <c r="A41" s="58"/>
      <c r="B41" s="58"/>
      <c r="C41" s="58"/>
      <c r="D41" s="58"/>
      <c r="E41" s="58"/>
      <c r="F41" s="59"/>
      <c r="G41" s="59"/>
      <c r="H41" s="61"/>
      <c r="I41" s="64"/>
      <c r="J41" s="64"/>
      <c r="K41" s="62"/>
    </row>
    <row r="42" spans="1:11" s="10" customFormat="1" ht="11.25">
      <c r="A42" s="21"/>
      <c r="B42" s="49"/>
      <c r="C42" s="21"/>
      <c r="D42" s="21"/>
      <c r="E42" s="21"/>
      <c r="F42" s="50"/>
      <c r="G42" s="37"/>
      <c r="H42" s="21"/>
      <c r="I42" s="21"/>
      <c r="J42" s="21"/>
      <c r="K42" s="23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  <row r="63" ht="12.75">
      <c r="K63" s="1"/>
    </row>
  </sheetData>
  <sheetProtection/>
  <mergeCells count="38"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  <mergeCell ref="A11:E11"/>
    <mergeCell ref="H11:J11"/>
    <mergeCell ref="A12:E12"/>
    <mergeCell ref="H12:J12"/>
    <mergeCell ref="I6:I7"/>
    <mergeCell ref="J6:J7"/>
    <mergeCell ref="G6:G7"/>
    <mergeCell ref="H6:H7"/>
    <mergeCell ref="A15:E15"/>
    <mergeCell ref="H15:J15"/>
    <mergeCell ref="A13:E13"/>
    <mergeCell ref="H13:J13"/>
    <mergeCell ref="A14:E14"/>
    <mergeCell ref="H14:J14"/>
    <mergeCell ref="B36:E36"/>
    <mergeCell ref="H36:J36"/>
    <mergeCell ref="B37:E37"/>
    <mergeCell ref="H37:J37"/>
    <mergeCell ref="A16:E16"/>
    <mergeCell ref="H16:J16"/>
    <mergeCell ref="A35:E35"/>
    <mergeCell ref="H35:J35"/>
    <mergeCell ref="A40:E40"/>
    <mergeCell ref="H40:J40"/>
    <mergeCell ref="B38:E38"/>
    <mergeCell ref="H38:J38"/>
    <mergeCell ref="B39:E39"/>
    <mergeCell ref="H39:J39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L63"/>
  <sheetViews>
    <sheetView zoomScale="150" zoomScaleNormal="150" zoomScalePageLayoutView="0" workbookViewId="0" topLeftCell="A8">
      <selection activeCell="C20" sqref="C20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7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201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138</v>
      </c>
      <c r="I2" s="10"/>
      <c r="J2" s="10"/>
      <c r="K2" s="10"/>
    </row>
    <row r="3" spans="1:12" ht="12.75" customHeight="1">
      <c r="A3" s="253" t="s">
        <v>117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39"/>
    </row>
    <row r="4" spans="1:11" ht="12.75" customHeight="1">
      <c r="A4" s="253" t="s">
        <v>200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55" t="s">
        <v>9</v>
      </c>
      <c r="B6" s="257" t="s">
        <v>0</v>
      </c>
      <c r="C6" s="257" t="s">
        <v>1</v>
      </c>
      <c r="D6" s="257" t="s">
        <v>10</v>
      </c>
      <c r="E6" s="257" t="s">
        <v>11</v>
      </c>
      <c r="F6" s="257" t="s">
        <v>12</v>
      </c>
      <c r="G6" s="311" t="s">
        <v>13</v>
      </c>
      <c r="H6" s="257" t="s">
        <v>14</v>
      </c>
      <c r="I6" s="257" t="s">
        <v>15</v>
      </c>
      <c r="J6" s="257" t="s">
        <v>16</v>
      </c>
      <c r="K6" s="259" t="s">
        <v>2</v>
      </c>
    </row>
    <row r="7" spans="1:11" ht="13.5" thickBot="1">
      <c r="A7" s="256"/>
      <c r="B7" s="258"/>
      <c r="C7" s="258"/>
      <c r="D7" s="258"/>
      <c r="E7" s="258"/>
      <c r="F7" s="258"/>
      <c r="G7" s="312"/>
      <c r="H7" s="258"/>
      <c r="I7" s="258"/>
      <c r="J7" s="258"/>
      <c r="K7" s="260"/>
    </row>
    <row r="8" spans="1:11" ht="13.5" thickBot="1">
      <c r="A8" s="38"/>
      <c r="B8" s="38"/>
      <c r="C8" s="38"/>
      <c r="D8" s="38"/>
      <c r="E8" s="38"/>
      <c r="F8" s="38"/>
      <c r="G8" s="138"/>
      <c r="H8" s="38"/>
      <c r="I8" s="38"/>
      <c r="J8" s="38"/>
      <c r="K8" s="38"/>
    </row>
    <row r="9" spans="1:11" ht="21" customHeight="1" thickBot="1">
      <c r="A9" s="261" t="s">
        <v>101</v>
      </c>
      <c r="B9" s="262"/>
      <c r="C9" s="262"/>
      <c r="D9" s="262"/>
      <c r="E9" s="262"/>
      <c r="F9" s="262"/>
      <c r="G9" s="262"/>
      <c r="H9" s="262"/>
      <c r="I9" s="262"/>
      <c r="J9" s="262"/>
      <c r="K9" s="263"/>
    </row>
    <row r="10" spans="1:11" s="14" customFormat="1" ht="12.75" customHeight="1">
      <c r="A10" s="15"/>
      <c r="B10" s="16"/>
      <c r="C10" s="16" t="s">
        <v>58</v>
      </c>
      <c r="D10" s="17">
        <v>196.1</v>
      </c>
      <c r="E10" s="18" t="s">
        <v>6</v>
      </c>
      <c r="F10" s="19"/>
      <c r="G10" s="139"/>
      <c r="H10" s="11" t="s">
        <v>8</v>
      </c>
      <c r="I10" s="12">
        <v>0.5</v>
      </c>
      <c r="J10" s="13" t="s">
        <v>7</v>
      </c>
      <c r="K10" s="20"/>
    </row>
    <row r="11" spans="1:11" s="14" customFormat="1" ht="13.5" customHeight="1">
      <c r="A11" s="272" t="s">
        <v>118</v>
      </c>
      <c r="B11" s="273"/>
      <c r="C11" s="273"/>
      <c r="D11" s="273"/>
      <c r="E11" s="273"/>
      <c r="F11" s="42">
        <v>242</v>
      </c>
      <c r="G11" s="42">
        <v>10242</v>
      </c>
      <c r="H11" s="270"/>
      <c r="I11" s="271"/>
      <c r="J11" s="271"/>
      <c r="K11" s="55"/>
    </row>
    <row r="12" spans="1:11" s="14" customFormat="1" ht="13.5" customHeight="1">
      <c r="A12" s="268" t="s">
        <v>34</v>
      </c>
      <c r="B12" s="269"/>
      <c r="C12" s="269"/>
      <c r="D12" s="269"/>
      <c r="E12" s="269"/>
      <c r="F12" s="42">
        <f>D10*I10*12</f>
        <v>1176.6</v>
      </c>
      <c r="G12" s="42">
        <v>583.95</v>
      </c>
      <c r="H12" s="270"/>
      <c r="I12" s="271"/>
      <c r="J12" s="271"/>
      <c r="K12" s="55"/>
    </row>
    <row r="13" spans="1:11" s="14" customFormat="1" ht="13.5" customHeight="1">
      <c r="A13" s="268" t="s">
        <v>50</v>
      </c>
      <c r="B13" s="269"/>
      <c r="C13" s="269"/>
      <c r="D13" s="269"/>
      <c r="E13" s="269"/>
      <c r="F13" s="42">
        <f>-(D10*12*0)</f>
        <v>0</v>
      </c>
      <c r="G13" s="42">
        <v>0</v>
      </c>
      <c r="H13" s="270"/>
      <c r="I13" s="271"/>
      <c r="J13" s="271"/>
      <c r="K13" s="55"/>
    </row>
    <row r="14" spans="1:11" s="41" customFormat="1" ht="12.75" customHeight="1">
      <c r="A14" s="272" t="s">
        <v>55</v>
      </c>
      <c r="B14" s="273"/>
      <c r="C14" s="273"/>
      <c r="D14" s="273"/>
      <c r="E14" s="273"/>
      <c r="F14" s="42">
        <v>0</v>
      </c>
      <c r="G14" s="42">
        <v>0</v>
      </c>
      <c r="H14" s="270"/>
      <c r="I14" s="271"/>
      <c r="J14" s="271"/>
      <c r="K14" s="55"/>
    </row>
    <row r="15" spans="1:11" s="14" customFormat="1" ht="13.5" customHeight="1">
      <c r="A15" s="268" t="s">
        <v>104</v>
      </c>
      <c r="B15" s="269"/>
      <c r="C15" s="269"/>
      <c r="D15" s="269"/>
      <c r="E15" s="269"/>
      <c r="F15" s="42">
        <v>0</v>
      </c>
      <c r="G15" s="42">
        <v>0</v>
      </c>
      <c r="H15" s="270"/>
      <c r="I15" s="271"/>
      <c r="J15" s="271"/>
      <c r="K15" s="55"/>
    </row>
    <row r="16" spans="1:11" s="40" customFormat="1" ht="12.75" customHeight="1" thickBot="1">
      <c r="A16" s="287" t="s">
        <v>107</v>
      </c>
      <c r="B16" s="288"/>
      <c r="C16" s="288"/>
      <c r="D16" s="288"/>
      <c r="E16" s="288"/>
      <c r="F16" s="46">
        <f>F11+F12+F13+F14+F15</f>
        <v>1418.6</v>
      </c>
      <c r="G16" s="46">
        <f>G11+G12+G13+G14+G15</f>
        <v>10825.95</v>
      </c>
      <c r="H16" s="276"/>
      <c r="I16" s="277"/>
      <c r="J16" s="277"/>
      <c r="K16" s="56"/>
    </row>
    <row r="17" spans="1:11" s="86" customFormat="1" ht="13.5" customHeight="1" thickBot="1">
      <c r="A17" s="58"/>
      <c r="B17" s="58"/>
      <c r="C17" s="58"/>
      <c r="D17" s="58"/>
      <c r="E17" s="58"/>
      <c r="F17" s="59"/>
      <c r="G17" s="59"/>
      <c r="H17" s="61"/>
      <c r="I17" s="64"/>
      <c r="J17" s="64"/>
      <c r="K17" s="62"/>
    </row>
    <row r="18" spans="1:11" ht="12.75">
      <c r="A18" s="87">
        <v>1</v>
      </c>
      <c r="B18" s="99" t="s">
        <v>29</v>
      </c>
      <c r="C18" s="97" t="s">
        <v>21</v>
      </c>
      <c r="D18" s="89"/>
      <c r="E18" s="90"/>
      <c r="F18" s="101">
        <v>1000</v>
      </c>
      <c r="G18" s="91"/>
      <c r="H18" s="92">
        <v>2013</v>
      </c>
      <c r="I18" s="90"/>
      <c r="J18" s="89" t="s">
        <v>4</v>
      </c>
      <c r="K18" s="93"/>
    </row>
    <row r="19" spans="1:11" ht="12.75">
      <c r="A19" s="29">
        <v>2</v>
      </c>
      <c r="B19" s="28"/>
      <c r="C19" s="248" t="s">
        <v>216</v>
      </c>
      <c r="D19" s="249"/>
      <c r="E19" s="250"/>
      <c r="F19" s="251"/>
      <c r="G19" s="221">
        <v>1746.54</v>
      </c>
      <c r="H19" s="158"/>
      <c r="I19" s="95"/>
      <c r="J19" s="155" t="s">
        <v>4</v>
      </c>
      <c r="K19" s="159"/>
    </row>
    <row r="20" spans="1:11" ht="12.75">
      <c r="A20" s="30">
        <v>3</v>
      </c>
      <c r="B20" s="31"/>
      <c r="C20" s="31"/>
      <c r="D20" s="4"/>
      <c r="E20" s="4"/>
      <c r="F20" s="27"/>
      <c r="G20" s="32"/>
      <c r="H20" s="4"/>
      <c r="I20" s="4"/>
      <c r="J20" s="26"/>
      <c r="K20" s="34"/>
    </row>
    <row r="21" spans="1:11" ht="12.75">
      <c r="A21" s="30">
        <v>4</v>
      </c>
      <c r="B21" s="31"/>
      <c r="C21" s="31"/>
      <c r="D21" s="4"/>
      <c r="E21" s="4"/>
      <c r="F21" s="32"/>
      <c r="G21" s="32"/>
      <c r="H21" s="4"/>
      <c r="I21" s="4"/>
      <c r="J21" s="4"/>
      <c r="K21" s="33"/>
    </row>
    <row r="22" spans="1:11" ht="12.75">
      <c r="A22" s="30">
        <v>5</v>
      </c>
      <c r="B22" s="31"/>
      <c r="C22" s="31"/>
      <c r="D22" s="4"/>
      <c r="E22" s="4"/>
      <c r="F22" s="32"/>
      <c r="G22" s="32"/>
      <c r="H22" s="4"/>
      <c r="I22" s="4"/>
      <c r="J22" s="4"/>
      <c r="K22" s="33"/>
    </row>
    <row r="23" spans="1:11" ht="12.75">
      <c r="A23" s="30">
        <v>6</v>
      </c>
      <c r="B23" s="31"/>
      <c r="C23" s="31"/>
      <c r="D23" s="4"/>
      <c r="E23" s="4"/>
      <c r="F23" s="32"/>
      <c r="G23" s="32"/>
      <c r="H23" s="4"/>
      <c r="I23" s="4"/>
      <c r="J23" s="35"/>
      <c r="K23" s="33"/>
    </row>
    <row r="24" spans="1:11" ht="12.75">
      <c r="A24" s="29">
        <v>7</v>
      </c>
      <c r="B24" s="28"/>
      <c r="C24" s="52"/>
      <c r="D24" s="26"/>
      <c r="E24" s="2"/>
      <c r="F24" s="66"/>
      <c r="G24" s="3"/>
      <c r="H24" s="2"/>
      <c r="I24" s="2"/>
      <c r="J24" s="26"/>
      <c r="K24" s="25"/>
    </row>
    <row r="25" spans="1:11" ht="12.75">
      <c r="A25" s="29">
        <v>8</v>
      </c>
      <c r="B25" s="51"/>
      <c r="C25" s="53"/>
      <c r="D25" s="35"/>
      <c r="E25" s="4"/>
      <c r="F25" s="65"/>
      <c r="G25" s="32"/>
      <c r="H25" s="4"/>
      <c r="I25" s="4"/>
      <c r="J25" s="26"/>
      <c r="K25" s="25"/>
    </row>
    <row r="26" spans="1:11" ht="12.75">
      <c r="A26" s="29">
        <v>9</v>
      </c>
      <c r="B26" s="51"/>
      <c r="C26" s="53"/>
      <c r="D26" s="35"/>
      <c r="E26" s="4"/>
      <c r="F26" s="65"/>
      <c r="G26" s="32"/>
      <c r="H26" s="4"/>
      <c r="I26" s="4"/>
      <c r="J26" s="35"/>
      <c r="K26" s="25"/>
    </row>
    <row r="27" spans="1:11" ht="12.75">
      <c r="A27" s="29">
        <v>10</v>
      </c>
      <c r="B27" s="51"/>
      <c r="C27" s="53"/>
      <c r="D27" s="35"/>
      <c r="E27" s="4"/>
      <c r="F27" s="65"/>
      <c r="G27" s="32"/>
      <c r="H27" s="4"/>
      <c r="I27" s="4"/>
      <c r="J27" s="35"/>
      <c r="K27" s="25"/>
    </row>
    <row r="28" spans="1:11" ht="12.75">
      <c r="A28" s="29">
        <v>11</v>
      </c>
      <c r="B28" s="51"/>
      <c r="C28" s="53"/>
      <c r="D28" s="35"/>
      <c r="E28" s="4"/>
      <c r="F28" s="65"/>
      <c r="G28" s="32"/>
      <c r="H28" s="4"/>
      <c r="I28" s="4"/>
      <c r="J28" s="35"/>
      <c r="K28" s="25"/>
    </row>
    <row r="29" spans="1:11" ht="12.75">
      <c r="A29" s="29">
        <v>12</v>
      </c>
      <c r="B29" s="51"/>
      <c r="C29" s="53"/>
      <c r="D29" s="35"/>
      <c r="E29" s="4"/>
      <c r="F29" s="65"/>
      <c r="G29" s="32"/>
      <c r="H29" s="4"/>
      <c r="I29" s="4"/>
      <c r="J29" s="35"/>
      <c r="K29" s="25"/>
    </row>
    <row r="30" spans="1:11" ht="12.75">
      <c r="A30" s="29">
        <v>13</v>
      </c>
      <c r="B30" s="51"/>
      <c r="C30" s="53"/>
      <c r="D30" s="35"/>
      <c r="E30" s="4"/>
      <c r="F30" s="65"/>
      <c r="G30" s="32"/>
      <c r="H30" s="4"/>
      <c r="I30" s="4"/>
      <c r="J30" s="35"/>
      <c r="K30" s="25"/>
    </row>
    <row r="31" spans="1:11" ht="12.75">
      <c r="A31" s="29">
        <v>14</v>
      </c>
      <c r="B31" s="51"/>
      <c r="C31" s="53"/>
      <c r="D31" s="35"/>
      <c r="E31" s="4"/>
      <c r="F31" s="65"/>
      <c r="G31" s="32"/>
      <c r="H31" s="4"/>
      <c r="I31" s="4"/>
      <c r="J31" s="35"/>
      <c r="K31" s="25"/>
    </row>
    <row r="32" spans="1:11" ht="12.75">
      <c r="A32" s="29">
        <v>15</v>
      </c>
      <c r="B32" s="28"/>
      <c r="C32" s="52"/>
      <c r="D32" s="26"/>
      <c r="E32" s="2"/>
      <c r="F32" s="66"/>
      <c r="G32" s="3"/>
      <c r="H32" s="2"/>
      <c r="I32" s="2"/>
      <c r="J32" s="26"/>
      <c r="K32" s="25"/>
    </row>
    <row r="33" spans="1:11" ht="13.5" thickBot="1">
      <c r="A33" s="104">
        <v>16</v>
      </c>
      <c r="B33" s="105"/>
      <c r="C33" s="106"/>
      <c r="D33" s="107"/>
      <c r="E33" s="108"/>
      <c r="F33" s="109"/>
      <c r="G33" s="110"/>
      <c r="H33" s="108"/>
      <c r="I33" s="108"/>
      <c r="J33" s="107"/>
      <c r="K33" s="111"/>
    </row>
    <row r="34" spans="1:11" ht="13.5" thickBot="1">
      <c r="A34" s="79"/>
      <c r="B34" s="80"/>
      <c r="C34" s="44"/>
      <c r="D34" s="81"/>
      <c r="E34" s="21"/>
      <c r="F34" s="77"/>
      <c r="G34" s="37"/>
      <c r="H34" s="21"/>
      <c r="I34" s="21"/>
      <c r="J34" s="81"/>
      <c r="K34" s="48"/>
    </row>
    <row r="35" spans="1:11" s="14" customFormat="1" ht="13.5" customHeight="1">
      <c r="A35" s="264" t="s">
        <v>53</v>
      </c>
      <c r="B35" s="265"/>
      <c r="C35" s="265"/>
      <c r="D35" s="265"/>
      <c r="E35" s="265"/>
      <c r="F35" s="45">
        <f>SUM(F18:F33)</f>
        <v>1000</v>
      </c>
      <c r="G35" s="45">
        <f>SUM(G18:G33)</f>
        <v>1746.54</v>
      </c>
      <c r="H35" s="266"/>
      <c r="I35" s="267"/>
      <c r="J35" s="267"/>
      <c r="K35" s="94"/>
    </row>
    <row r="36" spans="1:11" s="14" customFormat="1" ht="13.5" customHeight="1">
      <c r="A36" s="112"/>
      <c r="B36" s="278" t="s">
        <v>24</v>
      </c>
      <c r="C36" s="279"/>
      <c r="D36" s="280"/>
      <c r="E36" s="281"/>
      <c r="F36" s="113"/>
      <c r="G36" s="113"/>
      <c r="H36" s="282"/>
      <c r="I36" s="283"/>
      <c r="J36" s="283"/>
      <c r="K36" s="54"/>
    </row>
    <row r="37" spans="1:11" s="14" customFormat="1" ht="13.5" customHeight="1">
      <c r="A37" s="112"/>
      <c r="B37" s="278"/>
      <c r="C37" s="284"/>
      <c r="D37" s="280"/>
      <c r="E37" s="281"/>
      <c r="F37" s="114"/>
      <c r="G37" s="114"/>
      <c r="H37" s="270"/>
      <c r="I37" s="279"/>
      <c r="J37" s="279"/>
      <c r="K37" s="55"/>
    </row>
    <row r="38" spans="1:11" s="14" customFormat="1" ht="13.5" customHeight="1">
      <c r="A38" s="115"/>
      <c r="B38" s="278" t="s">
        <v>4</v>
      </c>
      <c r="C38" s="293"/>
      <c r="D38" s="280"/>
      <c r="E38" s="281"/>
      <c r="F38" s="43">
        <f>F18</f>
        <v>1000</v>
      </c>
      <c r="G38" s="43">
        <f>G19</f>
        <v>1746.54</v>
      </c>
      <c r="H38" s="294"/>
      <c r="I38" s="295"/>
      <c r="J38" s="295"/>
      <c r="K38" s="57"/>
    </row>
    <row r="39" spans="1:11" s="14" customFormat="1" ht="13.5" customHeight="1">
      <c r="A39" s="115"/>
      <c r="B39" s="291" t="s">
        <v>3</v>
      </c>
      <c r="C39" s="291"/>
      <c r="D39" s="292"/>
      <c r="E39" s="292"/>
      <c r="F39" s="43">
        <f>F35-F37-F38</f>
        <v>0</v>
      </c>
      <c r="G39" s="43">
        <f>G35-G37-G38</f>
        <v>0</v>
      </c>
      <c r="H39" s="289"/>
      <c r="I39" s="290"/>
      <c r="J39" s="290"/>
      <c r="K39" s="36"/>
    </row>
    <row r="40" spans="1:11" s="14" customFormat="1" ht="13.5" customHeight="1" thickBot="1">
      <c r="A40" s="274" t="s">
        <v>121</v>
      </c>
      <c r="B40" s="275"/>
      <c r="C40" s="275"/>
      <c r="D40" s="275"/>
      <c r="E40" s="275"/>
      <c r="F40" s="47">
        <f>F16-F35</f>
        <v>418.5999999999999</v>
      </c>
      <c r="G40" s="47">
        <f>G16-G35</f>
        <v>9079.41</v>
      </c>
      <c r="H40" s="276"/>
      <c r="I40" s="277"/>
      <c r="J40" s="277"/>
      <c r="K40" s="56"/>
    </row>
    <row r="41" spans="1:11" s="63" customFormat="1" ht="13.5" customHeight="1">
      <c r="A41" s="58"/>
      <c r="B41" s="58"/>
      <c r="C41" s="58"/>
      <c r="D41" s="58"/>
      <c r="E41" s="58"/>
      <c r="F41" s="59"/>
      <c r="G41" s="59"/>
      <c r="H41" s="61"/>
      <c r="I41" s="64"/>
      <c r="J41" s="64"/>
      <c r="K41" s="62"/>
    </row>
    <row r="42" spans="1:11" s="10" customFormat="1" ht="11.25">
      <c r="A42" s="21"/>
      <c r="B42" s="49"/>
      <c r="C42" s="21"/>
      <c r="D42" s="21"/>
      <c r="E42" s="21"/>
      <c r="F42" s="50"/>
      <c r="G42" s="37"/>
      <c r="H42" s="21"/>
      <c r="I42" s="21"/>
      <c r="J42" s="21"/>
      <c r="K42" s="23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  <row r="63" ht="12.75">
      <c r="K63" s="1"/>
    </row>
  </sheetData>
  <sheetProtection/>
  <mergeCells count="38"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  <mergeCell ref="A11:E11"/>
    <mergeCell ref="H11:J11"/>
    <mergeCell ref="A12:E12"/>
    <mergeCell ref="H12:J12"/>
    <mergeCell ref="I6:I7"/>
    <mergeCell ref="J6:J7"/>
    <mergeCell ref="G6:G7"/>
    <mergeCell ref="H6:H7"/>
    <mergeCell ref="A15:E15"/>
    <mergeCell ref="H15:J15"/>
    <mergeCell ref="A13:E13"/>
    <mergeCell ref="H13:J13"/>
    <mergeCell ref="A14:E14"/>
    <mergeCell ref="H14:J14"/>
    <mergeCell ref="B36:E36"/>
    <mergeCell ref="H36:J36"/>
    <mergeCell ref="B37:E37"/>
    <mergeCell ref="H37:J37"/>
    <mergeCell ref="A16:E16"/>
    <mergeCell ref="H16:J16"/>
    <mergeCell ref="A35:E35"/>
    <mergeCell ref="H35:J35"/>
    <mergeCell ref="A40:E40"/>
    <mergeCell ref="H40:J40"/>
    <mergeCell ref="B38:E38"/>
    <mergeCell ref="H38:J38"/>
    <mergeCell ref="B39:E39"/>
    <mergeCell ref="H39:J39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63"/>
  <sheetViews>
    <sheetView zoomScale="150" zoomScaleNormal="150" zoomScalePageLayoutView="0" workbookViewId="0" topLeftCell="A7">
      <selection activeCell="G19" sqref="G19:G20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7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201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138</v>
      </c>
      <c r="I2" s="10"/>
      <c r="J2" s="10"/>
      <c r="K2" s="10"/>
    </row>
    <row r="3" spans="1:12" ht="12.75" customHeight="1">
      <c r="A3" s="253" t="s">
        <v>117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39"/>
    </row>
    <row r="4" spans="1:11" ht="12.75" customHeight="1">
      <c r="A4" s="253" t="s">
        <v>200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55" t="s">
        <v>9</v>
      </c>
      <c r="B6" s="257" t="s">
        <v>0</v>
      </c>
      <c r="C6" s="257" t="s">
        <v>1</v>
      </c>
      <c r="D6" s="257" t="s">
        <v>10</v>
      </c>
      <c r="E6" s="257" t="s">
        <v>11</v>
      </c>
      <c r="F6" s="257" t="s">
        <v>12</v>
      </c>
      <c r="G6" s="311" t="s">
        <v>13</v>
      </c>
      <c r="H6" s="257" t="s">
        <v>14</v>
      </c>
      <c r="I6" s="257" t="s">
        <v>15</v>
      </c>
      <c r="J6" s="257" t="s">
        <v>16</v>
      </c>
      <c r="K6" s="259" t="s">
        <v>2</v>
      </c>
    </row>
    <row r="7" spans="1:11" ht="13.5" thickBot="1">
      <c r="A7" s="256"/>
      <c r="B7" s="258"/>
      <c r="C7" s="258"/>
      <c r="D7" s="258"/>
      <c r="E7" s="258"/>
      <c r="F7" s="258"/>
      <c r="G7" s="312"/>
      <c r="H7" s="258"/>
      <c r="I7" s="258"/>
      <c r="J7" s="258"/>
      <c r="K7" s="260"/>
    </row>
    <row r="8" spans="1:11" ht="13.5" thickBot="1">
      <c r="A8" s="38"/>
      <c r="B8" s="38"/>
      <c r="C8" s="38"/>
      <c r="D8" s="38"/>
      <c r="E8" s="38"/>
      <c r="F8" s="38"/>
      <c r="G8" s="138"/>
      <c r="H8" s="38"/>
      <c r="I8" s="38"/>
      <c r="J8" s="38"/>
      <c r="K8" s="38"/>
    </row>
    <row r="9" spans="1:11" ht="21" customHeight="1" thickBot="1">
      <c r="A9" s="261" t="s">
        <v>102</v>
      </c>
      <c r="B9" s="262"/>
      <c r="C9" s="262"/>
      <c r="D9" s="262"/>
      <c r="E9" s="262"/>
      <c r="F9" s="262"/>
      <c r="G9" s="262"/>
      <c r="H9" s="262"/>
      <c r="I9" s="262"/>
      <c r="J9" s="262"/>
      <c r="K9" s="263"/>
    </row>
    <row r="10" spans="1:11" s="14" customFormat="1" ht="12.75" customHeight="1">
      <c r="A10" s="15"/>
      <c r="B10" s="16"/>
      <c r="C10" s="16" t="s">
        <v>58</v>
      </c>
      <c r="D10" s="17"/>
      <c r="E10" s="18" t="s">
        <v>6</v>
      </c>
      <c r="F10" s="19"/>
      <c r="G10" s="139"/>
      <c r="H10" s="11" t="s">
        <v>8</v>
      </c>
      <c r="I10" s="12"/>
      <c r="J10" s="13" t="s">
        <v>7</v>
      </c>
      <c r="K10" s="20"/>
    </row>
    <row r="11" spans="1:11" s="14" customFormat="1" ht="13.5" customHeight="1">
      <c r="A11" s="272" t="s">
        <v>118</v>
      </c>
      <c r="B11" s="273"/>
      <c r="C11" s="273"/>
      <c r="D11" s="273"/>
      <c r="E11" s="273"/>
      <c r="F11" s="42">
        <v>6599.64</v>
      </c>
      <c r="G11" s="42">
        <v>26599.64</v>
      </c>
      <c r="H11" s="270"/>
      <c r="I11" s="271"/>
      <c r="J11" s="271"/>
      <c r="K11" s="55"/>
    </row>
    <row r="12" spans="1:11" s="14" customFormat="1" ht="13.5" customHeight="1">
      <c r="A12" s="268" t="s">
        <v>34</v>
      </c>
      <c r="B12" s="269"/>
      <c r="C12" s="269"/>
      <c r="D12" s="269"/>
      <c r="E12" s="269"/>
      <c r="F12" s="42">
        <v>6649</v>
      </c>
      <c r="G12" s="42">
        <f>1662.25+3081.55</f>
        <v>4743.8</v>
      </c>
      <c r="H12" s="270"/>
      <c r="I12" s="271"/>
      <c r="J12" s="271"/>
      <c r="K12" s="55"/>
    </row>
    <row r="13" spans="1:11" s="14" customFormat="1" ht="13.5" customHeight="1">
      <c r="A13" s="268" t="s">
        <v>50</v>
      </c>
      <c r="B13" s="269"/>
      <c r="C13" s="269"/>
      <c r="D13" s="269"/>
      <c r="E13" s="269"/>
      <c r="F13" s="42">
        <f>-(D10*12*0)</f>
        <v>0</v>
      </c>
      <c r="G13" s="42">
        <v>0</v>
      </c>
      <c r="H13" s="270"/>
      <c r="I13" s="271"/>
      <c r="J13" s="271"/>
      <c r="K13" s="55"/>
    </row>
    <row r="14" spans="1:11" s="41" customFormat="1" ht="12.75" customHeight="1">
      <c r="A14" s="272" t="s">
        <v>55</v>
      </c>
      <c r="B14" s="273"/>
      <c r="C14" s="273"/>
      <c r="D14" s="273"/>
      <c r="E14" s="273"/>
      <c r="F14" s="42">
        <v>0</v>
      </c>
      <c r="G14" s="42">
        <v>0</v>
      </c>
      <c r="H14" s="270"/>
      <c r="I14" s="271"/>
      <c r="J14" s="271"/>
      <c r="K14" s="55"/>
    </row>
    <row r="15" spans="1:11" s="14" customFormat="1" ht="13.5" customHeight="1">
      <c r="A15" s="268" t="s">
        <v>104</v>
      </c>
      <c r="B15" s="269"/>
      <c r="C15" s="269"/>
      <c r="D15" s="269"/>
      <c r="E15" s="269"/>
      <c r="F15" s="42">
        <v>0</v>
      </c>
      <c r="G15" s="42">
        <v>0</v>
      </c>
      <c r="H15" s="270"/>
      <c r="I15" s="271"/>
      <c r="J15" s="271"/>
      <c r="K15" s="55"/>
    </row>
    <row r="16" spans="1:11" s="40" customFormat="1" ht="12.75" customHeight="1" thickBot="1">
      <c r="A16" s="287" t="s">
        <v>107</v>
      </c>
      <c r="B16" s="288"/>
      <c r="C16" s="288"/>
      <c r="D16" s="288"/>
      <c r="E16" s="288"/>
      <c r="F16" s="46">
        <f>F11+F12+F13+F14+F15</f>
        <v>13248.64</v>
      </c>
      <c r="G16" s="46">
        <f>G11+G12+G13+G14+G15</f>
        <v>31343.44</v>
      </c>
      <c r="H16" s="276"/>
      <c r="I16" s="277"/>
      <c r="J16" s="277"/>
      <c r="K16" s="56"/>
    </row>
    <row r="17" spans="1:11" s="86" customFormat="1" ht="13.5" customHeight="1" thickBot="1">
      <c r="A17" s="58"/>
      <c r="B17" s="58"/>
      <c r="C17" s="58"/>
      <c r="D17" s="58"/>
      <c r="E17" s="58"/>
      <c r="F17" s="59"/>
      <c r="G17" s="59"/>
      <c r="H17" s="61"/>
      <c r="I17" s="64"/>
      <c r="J17" s="64"/>
      <c r="K17" s="62"/>
    </row>
    <row r="18" spans="1:11" s="132" customFormat="1" ht="14.25" customHeight="1">
      <c r="A18" s="177">
        <v>1</v>
      </c>
      <c r="B18" s="153" t="s">
        <v>56</v>
      </c>
      <c r="C18" s="153" t="s">
        <v>21</v>
      </c>
      <c r="D18" s="71"/>
      <c r="E18" s="71"/>
      <c r="F18" s="72">
        <v>10000</v>
      </c>
      <c r="G18" s="72"/>
      <c r="H18" s="123">
        <v>2013</v>
      </c>
      <c r="I18" s="71"/>
      <c r="J18" s="178" t="s">
        <v>4</v>
      </c>
      <c r="K18" s="179"/>
    </row>
    <row r="19" spans="1:11" s="132" customFormat="1" ht="12.75">
      <c r="A19" s="131">
        <v>2</v>
      </c>
      <c r="B19" s="167"/>
      <c r="C19" s="166" t="s">
        <v>155</v>
      </c>
      <c r="D19" s="170"/>
      <c r="E19" s="170"/>
      <c r="F19" s="169"/>
      <c r="G19" s="218">
        <f>3674.89+1825.11</f>
        <v>5500</v>
      </c>
      <c r="H19" s="174"/>
      <c r="I19" s="170"/>
      <c r="J19" s="170" t="s">
        <v>3</v>
      </c>
      <c r="K19" s="192"/>
    </row>
    <row r="20" spans="1:11" s="132" customFormat="1" ht="12.75">
      <c r="A20" s="126">
        <v>3</v>
      </c>
      <c r="B20" s="166"/>
      <c r="C20" s="166" t="s">
        <v>220</v>
      </c>
      <c r="D20" s="174"/>
      <c r="E20" s="174"/>
      <c r="F20" s="169"/>
      <c r="G20" s="244">
        <f>2125*4</f>
        <v>8500</v>
      </c>
      <c r="H20" s="174"/>
      <c r="I20" s="174"/>
      <c r="J20" s="170" t="s">
        <v>3</v>
      </c>
      <c r="K20" s="193"/>
    </row>
    <row r="21" spans="1:11" s="132" customFormat="1" ht="12.75">
      <c r="A21" s="126">
        <v>4</v>
      </c>
      <c r="B21" s="166"/>
      <c r="C21" s="166"/>
      <c r="D21" s="174"/>
      <c r="E21" s="174"/>
      <c r="F21" s="165"/>
      <c r="G21" s="165"/>
      <c r="H21" s="174"/>
      <c r="I21" s="174"/>
      <c r="J21" s="174"/>
      <c r="K21" s="194"/>
    </row>
    <row r="22" spans="1:11" s="132" customFormat="1" ht="12.75">
      <c r="A22" s="126">
        <v>5</v>
      </c>
      <c r="B22" s="166"/>
      <c r="C22" s="166"/>
      <c r="D22" s="174"/>
      <c r="E22" s="174"/>
      <c r="F22" s="165"/>
      <c r="G22" s="165"/>
      <c r="H22" s="174"/>
      <c r="I22" s="174"/>
      <c r="J22" s="174"/>
      <c r="K22" s="194"/>
    </row>
    <row r="23" spans="1:11" s="132" customFormat="1" ht="12.75">
      <c r="A23" s="126">
        <v>6</v>
      </c>
      <c r="B23" s="166"/>
      <c r="C23" s="166"/>
      <c r="D23" s="174"/>
      <c r="E23" s="174"/>
      <c r="F23" s="165"/>
      <c r="G23" s="165"/>
      <c r="H23" s="174"/>
      <c r="I23" s="174"/>
      <c r="J23" s="174"/>
      <c r="K23" s="194"/>
    </row>
    <row r="24" spans="1:11" s="132" customFormat="1" ht="12.75">
      <c r="A24" s="131">
        <v>7</v>
      </c>
      <c r="B24" s="167"/>
      <c r="C24" s="173"/>
      <c r="D24" s="170"/>
      <c r="E24" s="170"/>
      <c r="F24" s="169"/>
      <c r="G24" s="169"/>
      <c r="H24" s="170"/>
      <c r="I24" s="170"/>
      <c r="J24" s="170"/>
      <c r="K24" s="192"/>
    </row>
    <row r="25" spans="1:11" s="132" customFormat="1" ht="12.75">
      <c r="A25" s="131">
        <v>8</v>
      </c>
      <c r="B25" s="175"/>
      <c r="C25" s="166"/>
      <c r="D25" s="174"/>
      <c r="E25" s="174"/>
      <c r="F25" s="165"/>
      <c r="G25" s="165"/>
      <c r="H25" s="174"/>
      <c r="I25" s="174"/>
      <c r="J25" s="170"/>
      <c r="K25" s="192"/>
    </row>
    <row r="26" spans="1:11" s="132" customFormat="1" ht="12.75">
      <c r="A26" s="131">
        <v>9</v>
      </c>
      <c r="B26" s="175"/>
      <c r="C26" s="166"/>
      <c r="D26" s="174"/>
      <c r="E26" s="174"/>
      <c r="F26" s="165"/>
      <c r="G26" s="165"/>
      <c r="H26" s="174"/>
      <c r="I26" s="174"/>
      <c r="J26" s="174"/>
      <c r="K26" s="192"/>
    </row>
    <row r="27" spans="1:11" s="132" customFormat="1" ht="12.75">
      <c r="A27" s="131">
        <v>10</v>
      </c>
      <c r="B27" s="175"/>
      <c r="C27" s="166"/>
      <c r="D27" s="174"/>
      <c r="E27" s="174"/>
      <c r="F27" s="165"/>
      <c r="G27" s="165"/>
      <c r="H27" s="174"/>
      <c r="I27" s="174"/>
      <c r="J27" s="174"/>
      <c r="K27" s="192"/>
    </row>
    <row r="28" spans="1:11" s="132" customFormat="1" ht="12.75">
      <c r="A28" s="131">
        <v>11</v>
      </c>
      <c r="B28" s="175"/>
      <c r="C28" s="166"/>
      <c r="D28" s="174"/>
      <c r="E28" s="174"/>
      <c r="F28" s="165"/>
      <c r="G28" s="165"/>
      <c r="H28" s="174"/>
      <c r="I28" s="174"/>
      <c r="J28" s="174"/>
      <c r="K28" s="192"/>
    </row>
    <row r="29" spans="1:11" s="132" customFormat="1" ht="12.75">
      <c r="A29" s="131">
        <v>12</v>
      </c>
      <c r="B29" s="175"/>
      <c r="C29" s="166"/>
      <c r="D29" s="174"/>
      <c r="E29" s="174"/>
      <c r="F29" s="165"/>
      <c r="G29" s="165"/>
      <c r="H29" s="174"/>
      <c r="I29" s="174"/>
      <c r="J29" s="174"/>
      <c r="K29" s="192"/>
    </row>
    <row r="30" spans="1:11" s="132" customFormat="1" ht="12.75">
      <c r="A30" s="131">
        <v>13</v>
      </c>
      <c r="B30" s="175"/>
      <c r="C30" s="166"/>
      <c r="D30" s="174"/>
      <c r="E30" s="174"/>
      <c r="F30" s="165"/>
      <c r="G30" s="165"/>
      <c r="H30" s="174"/>
      <c r="I30" s="174"/>
      <c r="J30" s="174"/>
      <c r="K30" s="192"/>
    </row>
    <row r="31" spans="1:11" s="132" customFormat="1" ht="12.75">
      <c r="A31" s="131">
        <v>14</v>
      </c>
      <c r="B31" s="175"/>
      <c r="C31" s="166"/>
      <c r="D31" s="174"/>
      <c r="E31" s="174"/>
      <c r="F31" s="165"/>
      <c r="G31" s="165"/>
      <c r="H31" s="174"/>
      <c r="I31" s="174"/>
      <c r="J31" s="174"/>
      <c r="K31" s="192"/>
    </row>
    <row r="32" spans="1:11" s="132" customFormat="1" ht="12.75">
      <c r="A32" s="131">
        <v>15</v>
      </c>
      <c r="B32" s="167"/>
      <c r="C32" s="173"/>
      <c r="D32" s="170"/>
      <c r="E32" s="170"/>
      <c r="F32" s="169"/>
      <c r="G32" s="169"/>
      <c r="H32" s="170"/>
      <c r="I32" s="170"/>
      <c r="J32" s="170"/>
      <c r="K32" s="192"/>
    </row>
    <row r="33" spans="1:11" s="132" customFormat="1" ht="13.5" thickBot="1">
      <c r="A33" s="152">
        <v>16</v>
      </c>
      <c r="B33" s="195"/>
      <c r="C33" s="186"/>
      <c r="D33" s="196"/>
      <c r="E33" s="196"/>
      <c r="F33" s="189"/>
      <c r="G33" s="189"/>
      <c r="H33" s="196"/>
      <c r="I33" s="196"/>
      <c r="J33" s="196"/>
      <c r="K33" s="197"/>
    </row>
    <row r="34" spans="1:11" ht="13.5" thickBot="1">
      <c r="A34" s="79"/>
      <c r="B34" s="80"/>
      <c r="C34" s="44"/>
      <c r="D34" s="81"/>
      <c r="E34" s="21"/>
      <c r="F34" s="77"/>
      <c r="G34" s="37"/>
      <c r="H34" s="21"/>
      <c r="I34" s="21"/>
      <c r="J34" s="81"/>
      <c r="K34" s="48"/>
    </row>
    <row r="35" spans="1:11" s="14" customFormat="1" ht="13.5" customHeight="1">
      <c r="A35" s="264" t="s">
        <v>53</v>
      </c>
      <c r="B35" s="265"/>
      <c r="C35" s="265"/>
      <c r="D35" s="265"/>
      <c r="E35" s="265"/>
      <c r="F35" s="45">
        <f>SUM(F18:F33)</f>
        <v>10000</v>
      </c>
      <c r="G35" s="45">
        <f>SUM(G18:G33)</f>
        <v>14000</v>
      </c>
      <c r="H35" s="266"/>
      <c r="I35" s="267"/>
      <c r="J35" s="267"/>
      <c r="K35" s="94"/>
    </row>
    <row r="36" spans="1:11" s="14" customFormat="1" ht="13.5" customHeight="1">
      <c r="A36" s="112"/>
      <c r="B36" s="278" t="s">
        <v>24</v>
      </c>
      <c r="C36" s="279"/>
      <c r="D36" s="280"/>
      <c r="E36" s="281"/>
      <c r="F36" s="113"/>
      <c r="G36" s="113"/>
      <c r="H36" s="282"/>
      <c r="I36" s="283"/>
      <c r="J36" s="283"/>
      <c r="K36" s="54"/>
    </row>
    <row r="37" spans="1:11" s="14" customFormat="1" ht="13.5" customHeight="1">
      <c r="A37" s="112"/>
      <c r="B37" s="278"/>
      <c r="C37" s="284"/>
      <c r="D37" s="280"/>
      <c r="E37" s="281"/>
      <c r="F37" s="114"/>
      <c r="G37" s="114"/>
      <c r="H37" s="270"/>
      <c r="I37" s="279"/>
      <c r="J37" s="279"/>
      <c r="K37" s="55"/>
    </row>
    <row r="38" spans="1:11" s="14" customFormat="1" ht="13.5" customHeight="1">
      <c r="A38" s="115"/>
      <c r="B38" s="278" t="s">
        <v>4</v>
      </c>
      <c r="C38" s="293"/>
      <c r="D38" s="280"/>
      <c r="E38" s="281"/>
      <c r="F38" s="43">
        <f>F18</f>
        <v>10000</v>
      </c>
      <c r="G38" s="43">
        <f>G18</f>
        <v>0</v>
      </c>
      <c r="H38" s="294"/>
      <c r="I38" s="295"/>
      <c r="J38" s="295"/>
      <c r="K38" s="57"/>
    </row>
    <row r="39" spans="1:11" s="14" customFormat="1" ht="13.5" customHeight="1">
      <c r="A39" s="115"/>
      <c r="B39" s="291" t="s">
        <v>3</v>
      </c>
      <c r="C39" s="291"/>
      <c r="D39" s="292"/>
      <c r="E39" s="292"/>
      <c r="F39" s="43">
        <f>F35-F37-F38</f>
        <v>0</v>
      </c>
      <c r="G39" s="43">
        <f>G35-G37-G38</f>
        <v>14000</v>
      </c>
      <c r="H39" s="289"/>
      <c r="I39" s="290"/>
      <c r="J39" s="290"/>
      <c r="K39" s="36"/>
    </row>
    <row r="40" spans="1:11" s="14" customFormat="1" ht="13.5" customHeight="1" thickBot="1">
      <c r="A40" s="274" t="s">
        <v>121</v>
      </c>
      <c r="B40" s="275"/>
      <c r="C40" s="275"/>
      <c r="D40" s="275"/>
      <c r="E40" s="275"/>
      <c r="F40" s="47">
        <f>F16-F35</f>
        <v>3248.6399999999994</v>
      </c>
      <c r="G40" s="47">
        <f>G16-G35</f>
        <v>17343.44</v>
      </c>
      <c r="H40" s="276"/>
      <c r="I40" s="277"/>
      <c r="J40" s="277"/>
      <c r="K40" s="56"/>
    </row>
    <row r="41" spans="1:11" s="63" customFormat="1" ht="13.5" customHeight="1">
      <c r="A41" s="58"/>
      <c r="B41" s="58"/>
      <c r="C41" s="58"/>
      <c r="D41" s="58"/>
      <c r="E41" s="58"/>
      <c r="F41" s="59"/>
      <c r="G41" s="59"/>
      <c r="H41" s="61"/>
      <c r="I41" s="64"/>
      <c r="J41" s="64"/>
      <c r="K41" s="62"/>
    </row>
    <row r="42" spans="1:11" s="10" customFormat="1" ht="11.25">
      <c r="A42" s="21"/>
      <c r="B42" s="49"/>
      <c r="C42" s="21"/>
      <c r="D42" s="21"/>
      <c r="E42" s="21"/>
      <c r="F42" s="50"/>
      <c r="G42" s="37"/>
      <c r="H42" s="21"/>
      <c r="I42" s="21"/>
      <c r="J42" s="21"/>
      <c r="K42" s="23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  <row r="63" ht="12.75">
      <c r="K63" s="1"/>
    </row>
  </sheetData>
  <sheetProtection/>
  <mergeCells count="38"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  <mergeCell ref="A11:E11"/>
    <mergeCell ref="H11:J11"/>
    <mergeCell ref="A12:E12"/>
    <mergeCell ref="H12:J12"/>
    <mergeCell ref="I6:I7"/>
    <mergeCell ref="J6:J7"/>
    <mergeCell ref="G6:G7"/>
    <mergeCell ref="H6:H7"/>
    <mergeCell ref="A15:E15"/>
    <mergeCell ref="H15:J15"/>
    <mergeCell ref="A13:E13"/>
    <mergeCell ref="H13:J13"/>
    <mergeCell ref="A14:E14"/>
    <mergeCell ref="H14:J14"/>
    <mergeCell ref="B36:E36"/>
    <mergeCell ref="H36:J36"/>
    <mergeCell ref="B37:E37"/>
    <mergeCell ref="H37:J37"/>
    <mergeCell ref="A16:E16"/>
    <mergeCell ref="H16:J16"/>
    <mergeCell ref="A35:E35"/>
    <mergeCell ref="H35:J35"/>
    <mergeCell ref="A40:E40"/>
    <mergeCell ref="H40:J40"/>
    <mergeCell ref="B38:E38"/>
    <mergeCell ref="H38:J38"/>
    <mergeCell ref="B39:E39"/>
    <mergeCell ref="H39:J39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L63"/>
  <sheetViews>
    <sheetView zoomScale="150" zoomScaleNormal="150" zoomScalePageLayoutView="0" workbookViewId="0" topLeftCell="A6">
      <selection activeCell="G14" sqref="G14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7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201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138</v>
      </c>
      <c r="I2" s="10"/>
      <c r="J2" s="10"/>
      <c r="K2" s="10"/>
    </row>
    <row r="3" spans="1:12" ht="12.75" customHeight="1">
      <c r="A3" s="253" t="s">
        <v>117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39"/>
    </row>
    <row r="4" spans="1:11" ht="12.75" customHeight="1">
      <c r="A4" s="253" t="s">
        <v>200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55" t="s">
        <v>9</v>
      </c>
      <c r="B6" s="257" t="s">
        <v>0</v>
      </c>
      <c r="C6" s="257" t="s">
        <v>1</v>
      </c>
      <c r="D6" s="257" t="s">
        <v>10</v>
      </c>
      <c r="E6" s="257" t="s">
        <v>11</v>
      </c>
      <c r="F6" s="257" t="s">
        <v>12</v>
      </c>
      <c r="G6" s="311" t="s">
        <v>13</v>
      </c>
      <c r="H6" s="257" t="s">
        <v>14</v>
      </c>
      <c r="I6" s="257" t="s">
        <v>15</v>
      </c>
      <c r="J6" s="257" t="s">
        <v>16</v>
      </c>
      <c r="K6" s="259" t="s">
        <v>2</v>
      </c>
    </row>
    <row r="7" spans="1:11" ht="13.5" thickBot="1">
      <c r="A7" s="256"/>
      <c r="B7" s="258"/>
      <c r="C7" s="258"/>
      <c r="D7" s="258"/>
      <c r="E7" s="258"/>
      <c r="F7" s="258"/>
      <c r="G7" s="312"/>
      <c r="H7" s="258"/>
      <c r="I7" s="258"/>
      <c r="J7" s="258"/>
      <c r="K7" s="260"/>
    </row>
    <row r="8" spans="1:11" ht="13.5" thickBot="1">
      <c r="A8" s="38"/>
      <c r="B8" s="38"/>
      <c r="C8" s="38"/>
      <c r="D8" s="38"/>
      <c r="E8" s="38"/>
      <c r="F8" s="38"/>
      <c r="G8" s="138"/>
      <c r="H8" s="38"/>
      <c r="I8" s="38"/>
      <c r="J8" s="38"/>
      <c r="K8" s="38"/>
    </row>
    <row r="9" spans="1:11" ht="21" customHeight="1" thickBot="1">
      <c r="A9" s="261" t="s">
        <v>72</v>
      </c>
      <c r="B9" s="262"/>
      <c r="C9" s="262"/>
      <c r="D9" s="262"/>
      <c r="E9" s="262"/>
      <c r="F9" s="262"/>
      <c r="G9" s="262"/>
      <c r="H9" s="262"/>
      <c r="I9" s="262"/>
      <c r="J9" s="262"/>
      <c r="K9" s="263"/>
    </row>
    <row r="10" spans="1:11" s="14" customFormat="1" ht="12.75" customHeight="1">
      <c r="A10" s="15"/>
      <c r="B10" s="16"/>
      <c r="C10" s="16" t="s">
        <v>31</v>
      </c>
      <c r="D10" s="17">
        <f>161+163</f>
        <v>324</v>
      </c>
      <c r="E10" s="18" t="s">
        <v>35</v>
      </c>
      <c r="F10" s="19"/>
      <c r="G10" s="139"/>
      <c r="H10" s="11" t="s">
        <v>8</v>
      </c>
      <c r="I10" s="135">
        <f>F12/D10/12</f>
        <v>4.479423868312757</v>
      </c>
      <c r="J10" s="13" t="s">
        <v>36</v>
      </c>
      <c r="K10" s="20"/>
    </row>
    <row r="11" spans="1:11" s="14" customFormat="1" ht="13.5" customHeight="1">
      <c r="A11" s="272" t="s">
        <v>118</v>
      </c>
      <c r="B11" s="273"/>
      <c r="C11" s="273"/>
      <c r="D11" s="273"/>
      <c r="E11" s="273"/>
      <c r="F11" s="42">
        <v>10232</v>
      </c>
      <c r="G11" s="42">
        <v>41353.64</v>
      </c>
      <c r="H11" s="270"/>
      <c r="I11" s="271"/>
      <c r="J11" s="271"/>
      <c r="K11" s="55"/>
    </row>
    <row r="12" spans="1:11" s="14" customFormat="1" ht="13.5" customHeight="1">
      <c r="A12" s="268" t="s">
        <v>34</v>
      </c>
      <c r="B12" s="269"/>
      <c r="C12" s="269"/>
      <c r="D12" s="269"/>
      <c r="E12" s="269"/>
      <c r="F12" s="42">
        <f>30232-F14</f>
        <v>17416</v>
      </c>
      <c r="G12" s="42">
        <v>25116</v>
      </c>
      <c r="H12" s="270"/>
      <c r="I12" s="271"/>
      <c r="J12" s="271"/>
      <c r="K12" s="55"/>
    </row>
    <row r="13" spans="1:11" s="14" customFormat="1" ht="13.5" customHeight="1">
      <c r="A13" s="268" t="s">
        <v>50</v>
      </c>
      <c r="B13" s="269"/>
      <c r="C13" s="269"/>
      <c r="D13" s="269"/>
      <c r="E13" s="269"/>
      <c r="F13" s="42">
        <f>-(D10*12*0)</f>
        <v>0</v>
      </c>
      <c r="G13" s="42">
        <v>0</v>
      </c>
      <c r="H13" s="270"/>
      <c r="I13" s="271"/>
      <c r="J13" s="271"/>
      <c r="K13" s="55"/>
    </row>
    <row r="14" spans="1:11" s="41" customFormat="1" ht="12.75" customHeight="1">
      <c r="A14" s="272" t="s">
        <v>99</v>
      </c>
      <c r="B14" s="273"/>
      <c r="C14" s="273"/>
      <c r="D14" s="273"/>
      <c r="E14" s="273"/>
      <c r="F14" s="42">
        <v>12816</v>
      </c>
      <c r="G14" s="42">
        <f>6336+6480</f>
        <v>12816</v>
      </c>
      <c r="H14" s="270"/>
      <c r="I14" s="271"/>
      <c r="J14" s="271"/>
      <c r="K14" s="55"/>
    </row>
    <row r="15" spans="1:11" s="14" customFormat="1" ht="13.5" customHeight="1">
      <c r="A15" s="268" t="s">
        <v>104</v>
      </c>
      <c r="B15" s="269"/>
      <c r="C15" s="269"/>
      <c r="D15" s="269"/>
      <c r="E15" s="269"/>
      <c r="F15" s="42">
        <v>0</v>
      </c>
      <c r="G15" s="42">
        <v>0</v>
      </c>
      <c r="H15" s="270"/>
      <c r="I15" s="271"/>
      <c r="J15" s="271"/>
      <c r="K15" s="55"/>
    </row>
    <row r="16" spans="1:11" s="40" customFormat="1" ht="12.75" customHeight="1" thickBot="1">
      <c r="A16" s="287" t="s">
        <v>107</v>
      </c>
      <c r="B16" s="288"/>
      <c r="C16" s="288"/>
      <c r="D16" s="288"/>
      <c r="E16" s="288"/>
      <c r="F16" s="46">
        <f>F11+F12+F13+F14+F15</f>
        <v>40464</v>
      </c>
      <c r="G16" s="46">
        <f>G11+G12+G13+G14+G15</f>
        <v>79285.64</v>
      </c>
      <c r="H16" s="276"/>
      <c r="I16" s="277"/>
      <c r="J16" s="277"/>
      <c r="K16" s="56"/>
    </row>
    <row r="17" spans="1:11" s="86" customFormat="1" ht="13.5" customHeight="1" thickBot="1">
      <c r="A17" s="58"/>
      <c r="B17" s="58"/>
      <c r="C17" s="58"/>
      <c r="D17" s="58"/>
      <c r="E17" s="58"/>
      <c r="F17" s="59"/>
      <c r="G17" s="59"/>
      <c r="H17" s="61"/>
      <c r="I17" s="64"/>
      <c r="J17" s="64"/>
      <c r="K17" s="62"/>
    </row>
    <row r="18" spans="1:11" ht="14.25" customHeight="1">
      <c r="A18" s="87">
        <v>1</v>
      </c>
      <c r="B18" s="99" t="s">
        <v>59</v>
      </c>
      <c r="C18" s="99" t="s">
        <v>21</v>
      </c>
      <c r="D18" s="89"/>
      <c r="E18" s="90"/>
      <c r="F18" s="101">
        <v>10000</v>
      </c>
      <c r="G18" s="91"/>
      <c r="H18" s="92">
        <v>2013</v>
      </c>
      <c r="I18" s="90"/>
      <c r="J18" s="102" t="s">
        <v>3</v>
      </c>
      <c r="K18" s="103"/>
    </row>
    <row r="19" spans="1:11" ht="14.25" customHeight="1">
      <c r="A19" s="29">
        <v>2</v>
      </c>
      <c r="B19" s="28" t="s">
        <v>38</v>
      </c>
      <c r="C19" s="28" t="s">
        <v>21</v>
      </c>
      <c r="D19" s="26"/>
      <c r="E19" s="2"/>
      <c r="F19" s="27">
        <v>10000</v>
      </c>
      <c r="G19" s="3"/>
      <c r="H19" s="4">
        <v>2013</v>
      </c>
      <c r="I19" s="2"/>
      <c r="J19" s="26" t="s">
        <v>3</v>
      </c>
      <c r="K19" s="25"/>
    </row>
    <row r="20" spans="1:11" ht="12.75">
      <c r="A20" s="30">
        <v>3</v>
      </c>
      <c r="B20" s="31"/>
      <c r="C20" s="31"/>
      <c r="D20" s="4"/>
      <c r="E20" s="4"/>
      <c r="F20" s="27"/>
      <c r="G20" s="32"/>
      <c r="H20" s="4"/>
      <c r="I20" s="4"/>
      <c r="J20" s="26"/>
      <c r="K20" s="34"/>
    </row>
    <row r="21" spans="1:11" ht="12.75">
      <c r="A21" s="30">
        <v>4</v>
      </c>
      <c r="B21" s="31"/>
      <c r="C21" s="31"/>
      <c r="D21" s="4"/>
      <c r="E21" s="4"/>
      <c r="F21" s="32"/>
      <c r="G21" s="32"/>
      <c r="H21" s="4"/>
      <c r="I21" s="4"/>
      <c r="J21" s="4"/>
      <c r="K21" s="33"/>
    </row>
    <row r="22" spans="1:11" ht="12.75">
      <c r="A22" s="30">
        <v>5</v>
      </c>
      <c r="B22" s="31"/>
      <c r="C22" s="31"/>
      <c r="D22" s="4"/>
      <c r="E22" s="4"/>
      <c r="F22" s="32"/>
      <c r="G22" s="32"/>
      <c r="H22" s="4"/>
      <c r="I22" s="4"/>
      <c r="J22" s="4"/>
      <c r="K22" s="33"/>
    </row>
    <row r="23" spans="1:11" ht="12.75">
      <c r="A23" s="30">
        <v>6</v>
      </c>
      <c r="B23" s="31"/>
      <c r="C23" s="31"/>
      <c r="D23" s="4"/>
      <c r="E23" s="4"/>
      <c r="F23" s="32"/>
      <c r="G23" s="32"/>
      <c r="H23" s="4"/>
      <c r="I23" s="4"/>
      <c r="J23" s="35"/>
      <c r="K23" s="33"/>
    </row>
    <row r="24" spans="1:11" ht="12.75">
      <c r="A24" s="29">
        <v>7</v>
      </c>
      <c r="B24" s="28"/>
      <c r="C24" s="52"/>
      <c r="D24" s="26"/>
      <c r="E24" s="2"/>
      <c r="F24" s="66"/>
      <c r="G24" s="3"/>
      <c r="H24" s="2"/>
      <c r="I24" s="2"/>
      <c r="J24" s="26"/>
      <c r="K24" s="25"/>
    </row>
    <row r="25" spans="1:11" ht="12.75">
      <c r="A25" s="29">
        <v>8</v>
      </c>
      <c r="B25" s="51"/>
      <c r="C25" s="53"/>
      <c r="D25" s="35"/>
      <c r="E25" s="4"/>
      <c r="F25" s="65"/>
      <c r="G25" s="32"/>
      <c r="H25" s="4"/>
      <c r="I25" s="4"/>
      <c r="J25" s="26"/>
      <c r="K25" s="25"/>
    </row>
    <row r="26" spans="1:11" ht="12.75">
      <c r="A26" s="29">
        <v>9</v>
      </c>
      <c r="B26" s="51"/>
      <c r="C26" s="53"/>
      <c r="D26" s="35"/>
      <c r="E26" s="4"/>
      <c r="F26" s="65"/>
      <c r="G26" s="32"/>
      <c r="H26" s="4"/>
      <c r="I26" s="4"/>
      <c r="J26" s="35"/>
      <c r="K26" s="25"/>
    </row>
    <row r="27" spans="1:11" ht="12.75">
      <c r="A27" s="29">
        <v>10</v>
      </c>
      <c r="B27" s="51"/>
      <c r="C27" s="53"/>
      <c r="D27" s="35"/>
      <c r="E27" s="4"/>
      <c r="F27" s="65"/>
      <c r="G27" s="32"/>
      <c r="H27" s="4"/>
      <c r="I27" s="4"/>
      <c r="J27" s="35"/>
      <c r="K27" s="25"/>
    </row>
    <row r="28" spans="1:11" ht="12.75">
      <c r="A28" s="29">
        <v>11</v>
      </c>
      <c r="B28" s="51"/>
      <c r="C28" s="53"/>
      <c r="D28" s="35"/>
      <c r="E28" s="4"/>
      <c r="F28" s="65"/>
      <c r="G28" s="32"/>
      <c r="H28" s="4"/>
      <c r="I28" s="4"/>
      <c r="J28" s="35"/>
      <c r="K28" s="25"/>
    </row>
    <row r="29" spans="1:11" ht="12.75">
      <c r="A29" s="29">
        <v>12</v>
      </c>
      <c r="B29" s="51"/>
      <c r="C29" s="53"/>
      <c r="D29" s="35"/>
      <c r="E29" s="4"/>
      <c r="F29" s="65"/>
      <c r="G29" s="32"/>
      <c r="H29" s="4"/>
      <c r="I29" s="4"/>
      <c r="J29" s="35"/>
      <c r="K29" s="25"/>
    </row>
    <row r="30" spans="1:11" ht="12.75">
      <c r="A30" s="29">
        <v>13</v>
      </c>
      <c r="B30" s="51"/>
      <c r="C30" s="53"/>
      <c r="D30" s="35"/>
      <c r="E30" s="4"/>
      <c r="F30" s="65"/>
      <c r="G30" s="32"/>
      <c r="H30" s="4"/>
      <c r="I30" s="4"/>
      <c r="J30" s="35"/>
      <c r="K30" s="25"/>
    </row>
    <row r="31" spans="1:11" ht="12.75">
      <c r="A31" s="29">
        <v>14</v>
      </c>
      <c r="B31" s="51"/>
      <c r="C31" s="53"/>
      <c r="D31" s="35"/>
      <c r="E31" s="4"/>
      <c r="F31" s="65"/>
      <c r="G31" s="32"/>
      <c r="H31" s="4"/>
      <c r="I31" s="4"/>
      <c r="J31" s="35"/>
      <c r="K31" s="25"/>
    </row>
    <row r="32" spans="1:11" ht="12.75">
      <c r="A32" s="29">
        <v>15</v>
      </c>
      <c r="B32" s="28"/>
      <c r="C32" s="52"/>
      <c r="D32" s="26"/>
      <c r="E32" s="2"/>
      <c r="F32" s="66"/>
      <c r="G32" s="3"/>
      <c r="H32" s="2"/>
      <c r="I32" s="2"/>
      <c r="J32" s="26"/>
      <c r="K32" s="25"/>
    </row>
    <row r="33" spans="1:11" ht="13.5" thickBot="1">
      <c r="A33" s="104">
        <v>16</v>
      </c>
      <c r="B33" s="105"/>
      <c r="C33" s="106"/>
      <c r="D33" s="107"/>
      <c r="E33" s="108"/>
      <c r="F33" s="109"/>
      <c r="G33" s="110"/>
      <c r="H33" s="108"/>
      <c r="I33" s="108"/>
      <c r="J33" s="107"/>
      <c r="K33" s="111"/>
    </row>
    <row r="34" spans="1:11" ht="13.5" thickBot="1">
      <c r="A34" s="79"/>
      <c r="B34" s="80"/>
      <c r="C34" s="44"/>
      <c r="D34" s="81"/>
      <c r="E34" s="21"/>
      <c r="F34" s="77"/>
      <c r="G34" s="37"/>
      <c r="H34" s="21"/>
      <c r="I34" s="21"/>
      <c r="J34" s="81"/>
      <c r="K34" s="48"/>
    </row>
    <row r="35" spans="1:11" s="14" customFormat="1" ht="13.5" customHeight="1">
      <c r="A35" s="264" t="s">
        <v>53</v>
      </c>
      <c r="B35" s="265"/>
      <c r="C35" s="265"/>
      <c r="D35" s="265"/>
      <c r="E35" s="265"/>
      <c r="F35" s="45">
        <f>SUM(F18:F33)</f>
        <v>20000</v>
      </c>
      <c r="G35" s="45">
        <f>SUM(G18:G33)</f>
        <v>0</v>
      </c>
      <c r="H35" s="266"/>
      <c r="I35" s="267"/>
      <c r="J35" s="267"/>
      <c r="K35" s="94"/>
    </row>
    <row r="36" spans="1:11" s="14" customFormat="1" ht="13.5" customHeight="1">
      <c r="A36" s="112"/>
      <c r="B36" s="278" t="s">
        <v>24</v>
      </c>
      <c r="C36" s="279"/>
      <c r="D36" s="280"/>
      <c r="E36" s="281"/>
      <c r="F36" s="113"/>
      <c r="G36" s="113"/>
      <c r="H36" s="282"/>
      <c r="I36" s="283"/>
      <c r="J36" s="283"/>
      <c r="K36" s="54"/>
    </row>
    <row r="37" spans="1:11" s="14" customFormat="1" ht="13.5" customHeight="1">
      <c r="A37" s="112"/>
      <c r="B37" s="278"/>
      <c r="C37" s="284"/>
      <c r="D37" s="280"/>
      <c r="E37" s="281"/>
      <c r="F37" s="114"/>
      <c r="G37" s="114"/>
      <c r="H37" s="270"/>
      <c r="I37" s="279"/>
      <c r="J37" s="279"/>
      <c r="K37" s="55"/>
    </row>
    <row r="38" spans="1:11" s="14" customFormat="1" ht="13.5" customHeight="1">
      <c r="A38" s="115"/>
      <c r="B38" s="278" t="s">
        <v>4</v>
      </c>
      <c r="C38" s="293"/>
      <c r="D38" s="280"/>
      <c r="E38" s="281"/>
      <c r="F38" s="43">
        <v>0</v>
      </c>
      <c r="G38" s="43">
        <v>0</v>
      </c>
      <c r="H38" s="294"/>
      <c r="I38" s="295"/>
      <c r="J38" s="295"/>
      <c r="K38" s="57"/>
    </row>
    <row r="39" spans="1:11" s="14" customFormat="1" ht="13.5" customHeight="1">
      <c r="A39" s="115"/>
      <c r="B39" s="291" t="s">
        <v>3</v>
      </c>
      <c r="C39" s="291"/>
      <c r="D39" s="292"/>
      <c r="E39" s="292"/>
      <c r="F39" s="43">
        <f>F35-F37-F38</f>
        <v>20000</v>
      </c>
      <c r="G39" s="43">
        <f>G35-G37-G38</f>
        <v>0</v>
      </c>
      <c r="H39" s="289"/>
      <c r="I39" s="290"/>
      <c r="J39" s="290"/>
      <c r="K39" s="36"/>
    </row>
    <row r="40" spans="1:11" s="14" customFormat="1" ht="13.5" customHeight="1" thickBot="1">
      <c r="A40" s="274" t="s">
        <v>121</v>
      </c>
      <c r="B40" s="275"/>
      <c r="C40" s="275"/>
      <c r="D40" s="275"/>
      <c r="E40" s="275"/>
      <c r="F40" s="47">
        <f>F16-F35</f>
        <v>20464</v>
      </c>
      <c r="G40" s="47">
        <f>G16-G35</f>
        <v>79285.64</v>
      </c>
      <c r="H40" s="276"/>
      <c r="I40" s="277"/>
      <c r="J40" s="277"/>
      <c r="K40" s="56"/>
    </row>
    <row r="41" spans="1:11" s="63" customFormat="1" ht="13.5" customHeight="1">
      <c r="A41" s="58"/>
      <c r="B41" s="58"/>
      <c r="C41" s="58"/>
      <c r="D41" s="58"/>
      <c r="E41" s="58"/>
      <c r="F41" s="59"/>
      <c r="G41" s="59"/>
      <c r="H41" s="61"/>
      <c r="I41" s="64"/>
      <c r="J41" s="64"/>
      <c r="K41" s="62"/>
    </row>
    <row r="42" spans="1:11" s="10" customFormat="1" ht="11.25">
      <c r="A42" s="21"/>
      <c r="B42" s="49"/>
      <c r="C42" s="21"/>
      <c r="D42" s="21"/>
      <c r="E42" s="21"/>
      <c r="F42" s="50"/>
      <c r="G42" s="37"/>
      <c r="H42" s="21"/>
      <c r="I42" s="21"/>
      <c r="J42" s="21"/>
      <c r="K42" s="23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  <row r="63" ht="12.75">
      <c r="K63" s="1"/>
    </row>
  </sheetData>
  <sheetProtection/>
  <mergeCells count="38"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  <mergeCell ref="A11:E11"/>
    <mergeCell ref="H11:J11"/>
    <mergeCell ref="A12:E12"/>
    <mergeCell ref="H12:J12"/>
    <mergeCell ref="I6:I7"/>
    <mergeCell ref="J6:J7"/>
    <mergeCell ref="G6:G7"/>
    <mergeCell ref="H6:H7"/>
    <mergeCell ref="A15:E15"/>
    <mergeCell ref="H15:J15"/>
    <mergeCell ref="A13:E13"/>
    <mergeCell ref="H13:J13"/>
    <mergeCell ref="A14:E14"/>
    <mergeCell ref="H14:J14"/>
    <mergeCell ref="B36:E36"/>
    <mergeCell ref="H36:J36"/>
    <mergeCell ref="B37:E37"/>
    <mergeCell ref="H37:J37"/>
    <mergeCell ref="A16:E16"/>
    <mergeCell ref="H16:J16"/>
    <mergeCell ref="A35:E35"/>
    <mergeCell ref="H35:J35"/>
    <mergeCell ref="A40:E40"/>
    <mergeCell ref="H40:J40"/>
    <mergeCell ref="B38:E38"/>
    <mergeCell ref="H38:J38"/>
    <mergeCell ref="B39:E39"/>
    <mergeCell ref="H39:J39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L63"/>
  <sheetViews>
    <sheetView zoomScale="150" zoomScaleNormal="150" zoomScalePageLayoutView="0" workbookViewId="0" topLeftCell="A6">
      <selection activeCell="G19" sqref="G19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7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201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138</v>
      </c>
      <c r="I2" s="10"/>
      <c r="J2" s="10"/>
      <c r="K2" s="10"/>
    </row>
    <row r="3" spans="1:12" ht="12.75" customHeight="1">
      <c r="A3" s="253" t="s">
        <v>117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39"/>
    </row>
    <row r="4" spans="1:11" ht="12.75" customHeight="1">
      <c r="A4" s="253" t="s">
        <v>200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55" t="s">
        <v>9</v>
      </c>
      <c r="B6" s="257" t="s">
        <v>0</v>
      </c>
      <c r="C6" s="257" t="s">
        <v>1</v>
      </c>
      <c r="D6" s="257" t="s">
        <v>10</v>
      </c>
      <c r="E6" s="257" t="s">
        <v>11</v>
      </c>
      <c r="F6" s="257" t="s">
        <v>12</v>
      </c>
      <c r="G6" s="311" t="s">
        <v>13</v>
      </c>
      <c r="H6" s="257" t="s">
        <v>14</v>
      </c>
      <c r="I6" s="257" t="s">
        <v>15</v>
      </c>
      <c r="J6" s="257" t="s">
        <v>16</v>
      </c>
      <c r="K6" s="259" t="s">
        <v>2</v>
      </c>
    </row>
    <row r="7" spans="1:11" ht="13.5" thickBot="1">
      <c r="A7" s="256"/>
      <c r="B7" s="258"/>
      <c r="C7" s="258"/>
      <c r="D7" s="258"/>
      <c r="E7" s="258"/>
      <c r="F7" s="258"/>
      <c r="G7" s="312"/>
      <c r="H7" s="258"/>
      <c r="I7" s="258"/>
      <c r="J7" s="258"/>
      <c r="K7" s="260"/>
    </row>
    <row r="8" spans="1:11" ht="13.5" thickBot="1">
      <c r="A8" s="38"/>
      <c r="B8" s="38"/>
      <c r="C8" s="38"/>
      <c r="D8" s="38"/>
      <c r="E8" s="38"/>
      <c r="F8" s="38"/>
      <c r="G8" s="138"/>
      <c r="H8" s="38"/>
      <c r="I8" s="38"/>
      <c r="J8" s="38"/>
      <c r="K8" s="38"/>
    </row>
    <row r="9" spans="1:11" ht="21" customHeight="1" thickBot="1">
      <c r="A9" s="261" t="s">
        <v>73</v>
      </c>
      <c r="B9" s="262"/>
      <c r="C9" s="262"/>
      <c r="D9" s="262"/>
      <c r="E9" s="262"/>
      <c r="F9" s="262"/>
      <c r="G9" s="262"/>
      <c r="H9" s="262"/>
      <c r="I9" s="262"/>
      <c r="J9" s="262"/>
      <c r="K9" s="263"/>
    </row>
    <row r="10" spans="1:11" s="14" customFormat="1" ht="12.75" customHeight="1">
      <c r="A10" s="15"/>
      <c r="B10" s="16"/>
      <c r="C10" s="16" t="s">
        <v>31</v>
      </c>
      <c r="D10" s="17">
        <v>163</v>
      </c>
      <c r="E10" s="18" t="s">
        <v>35</v>
      </c>
      <c r="F10" s="19"/>
      <c r="G10" s="139"/>
      <c r="H10" s="11" t="s">
        <v>8</v>
      </c>
      <c r="I10" s="135">
        <f>F12/D10/12</f>
        <v>2.8548057259713704</v>
      </c>
      <c r="J10" s="13" t="s">
        <v>36</v>
      </c>
      <c r="K10" s="20"/>
    </row>
    <row r="11" spans="1:11" s="14" customFormat="1" ht="13.5" customHeight="1">
      <c r="A11" s="272" t="s">
        <v>118</v>
      </c>
      <c r="B11" s="273"/>
      <c r="C11" s="273"/>
      <c r="D11" s="273"/>
      <c r="E11" s="273"/>
      <c r="F11" s="42">
        <v>3240</v>
      </c>
      <c r="G11" s="42">
        <v>17795.18</v>
      </c>
      <c r="H11" s="270"/>
      <c r="I11" s="271"/>
      <c r="J11" s="271"/>
      <c r="K11" s="55"/>
    </row>
    <row r="12" spans="1:11" s="14" customFormat="1" ht="13.5" customHeight="1">
      <c r="A12" s="268" t="s">
        <v>34</v>
      </c>
      <c r="B12" s="269"/>
      <c r="C12" s="269"/>
      <c r="D12" s="269"/>
      <c r="E12" s="269"/>
      <c r="F12" s="42">
        <f>13240-F14</f>
        <v>5584</v>
      </c>
      <c r="G12" s="42">
        <v>13240</v>
      </c>
      <c r="H12" s="270"/>
      <c r="I12" s="271"/>
      <c r="J12" s="271"/>
      <c r="K12" s="55"/>
    </row>
    <row r="13" spans="1:11" s="14" customFormat="1" ht="13.5" customHeight="1">
      <c r="A13" s="268" t="s">
        <v>50</v>
      </c>
      <c r="B13" s="269"/>
      <c r="C13" s="269"/>
      <c r="D13" s="269"/>
      <c r="E13" s="269"/>
      <c r="F13" s="42">
        <f>-(D10*12*0)</f>
        <v>0</v>
      </c>
      <c r="G13" s="42">
        <v>0</v>
      </c>
      <c r="H13" s="270"/>
      <c r="I13" s="271"/>
      <c r="J13" s="271"/>
      <c r="K13" s="55"/>
    </row>
    <row r="14" spans="1:11" s="41" customFormat="1" ht="12.75" customHeight="1">
      <c r="A14" s="272" t="s">
        <v>99</v>
      </c>
      <c r="B14" s="273"/>
      <c r="C14" s="273"/>
      <c r="D14" s="273"/>
      <c r="E14" s="273"/>
      <c r="F14" s="42">
        <v>7656</v>
      </c>
      <c r="G14" s="42">
        <v>6480</v>
      </c>
      <c r="H14" s="270"/>
      <c r="I14" s="271"/>
      <c r="J14" s="271"/>
      <c r="K14" s="55"/>
    </row>
    <row r="15" spans="1:11" s="14" customFormat="1" ht="13.5" customHeight="1">
      <c r="A15" s="268" t="s">
        <v>104</v>
      </c>
      <c r="B15" s="269"/>
      <c r="C15" s="269"/>
      <c r="D15" s="269"/>
      <c r="E15" s="269"/>
      <c r="F15" s="42">
        <v>0</v>
      </c>
      <c r="G15" s="42">
        <v>0</v>
      </c>
      <c r="H15" s="270"/>
      <c r="I15" s="271"/>
      <c r="J15" s="271"/>
      <c r="K15" s="55"/>
    </row>
    <row r="16" spans="1:11" s="40" customFormat="1" ht="12.75" customHeight="1" thickBot="1">
      <c r="A16" s="287" t="s">
        <v>107</v>
      </c>
      <c r="B16" s="288"/>
      <c r="C16" s="288"/>
      <c r="D16" s="288"/>
      <c r="E16" s="288"/>
      <c r="F16" s="46">
        <f>F11+F12+F13+F14+F15</f>
        <v>16480</v>
      </c>
      <c r="G16" s="46">
        <f>G11+G12+G13+G14+G15</f>
        <v>37515.18</v>
      </c>
      <c r="H16" s="276"/>
      <c r="I16" s="277"/>
      <c r="J16" s="277"/>
      <c r="K16" s="56"/>
    </row>
    <row r="17" spans="1:11" s="86" customFormat="1" ht="13.5" customHeight="1" thickBot="1">
      <c r="A17" s="58"/>
      <c r="B17" s="58"/>
      <c r="C17" s="58"/>
      <c r="D17" s="58"/>
      <c r="E17" s="58"/>
      <c r="F17" s="59"/>
      <c r="G17" s="59"/>
      <c r="H17" s="61"/>
      <c r="I17" s="64"/>
      <c r="J17" s="64"/>
      <c r="K17" s="62"/>
    </row>
    <row r="18" spans="1:11" ht="14.25" customHeight="1">
      <c r="A18" s="87">
        <v>1</v>
      </c>
      <c r="B18" s="99" t="s">
        <v>18</v>
      </c>
      <c r="C18" s="99" t="s">
        <v>21</v>
      </c>
      <c r="D18" s="89"/>
      <c r="E18" s="90"/>
      <c r="F18" s="101">
        <v>10000</v>
      </c>
      <c r="G18" s="91"/>
      <c r="H18" s="89">
        <v>2013</v>
      </c>
      <c r="I18" s="90"/>
      <c r="J18" s="102" t="s">
        <v>3</v>
      </c>
      <c r="K18" s="103"/>
    </row>
    <row r="19" spans="1:11" ht="14.25" customHeight="1">
      <c r="A19" s="29">
        <v>2</v>
      </c>
      <c r="B19" s="28"/>
      <c r="C19" s="154" t="s">
        <v>179</v>
      </c>
      <c r="D19" s="155"/>
      <c r="E19" s="95"/>
      <c r="F19" s="156"/>
      <c r="G19" s="221">
        <v>141.8</v>
      </c>
      <c r="H19" s="158"/>
      <c r="I19" s="95"/>
      <c r="J19" s="155" t="s">
        <v>3</v>
      </c>
      <c r="K19" s="25"/>
    </row>
    <row r="20" spans="1:11" ht="12.75">
      <c r="A20" s="30">
        <v>3</v>
      </c>
      <c r="B20" s="31"/>
      <c r="C20" s="31"/>
      <c r="D20" s="4"/>
      <c r="E20" s="4"/>
      <c r="F20" s="27"/>
      <c r="G20" s="32"/>
      <c r="H20" s="4"/>
      <c r="I20" s="4"/>
      <c r="J20" s="26"/>
      <c r="K20" s="34"/>
    </row>
    <row r="21" spans="1:11" ht="12.75">
      <c r="A21" s="30">
        <v>4</v>
      </c>
      <c r="B21" s="31"/>
      <c r="C21" s="31"/>
      <c r="D21" s="4"/>
      <c r="E21" s="4"/>
      <c r="F21" s="32"/>
      <c r="G21" s="32"/>
      <c r="H21" s="4"/>
      <c r="I21" s="4"/>
      <c r="J21" s="4"/>
      <c r="K21" s="33"/>
    </row>
    <row r="22" spans="1:11" ht="12.75">
      <c r="A22" s="30">
        <v>5</v>
      </c>
      <c r="B22" s="31"/>
      <c r="C22" s="31"/>
      <c r="D22" s="4"/>
      <c r="E22" s="4"/>
      <c r="F22" s="32"/>
      <c r="G22" s="32"/>
      <c r="H22" s="4"/>
      <c r="I22" s="4"/>
      <c r="J22" s="4"/>
      <c r="K22" s="33"/>
    </row>
    <row r="23" spans="1:11" ht="12.75">
      <c r="A23" s="30">
        <v>6</v>
      </c>
      <c r="B23" s="31"/>
      <c r="C23" s="31"/>
      <c r="D23" s="4"/>
      <c r="E23" s="4"/>
      <c r="F23" s="32"/>
      <c r="G23" s="32"/>
      <c r="H23" s="4"/>
      <c r="I23" s="4"/>
      <c r="J23" s="35"/>
      <c r="K23" s="33"/>
    </row>
    <row r="24" spans="1:11" ht="12.75">
      <c r="A24" s="29">
        <v>7</v>
      </c>
      <c r="B24" s="28"/>
      <c r="C24" s="52"/>
      <c r="D24" s="26"/>
      <c r="E24" s="2"/>
      <c r="F24" s="66"/>
      <c r="G24" s="3"/>
      <c r="H24" s="2"/>
      <c r="I24" s="2"/>
      <c r="J24" s="26"/>
      <c r="K24" s="25"/>
    </row>
    <row r="25" spans="1:11" ht="12.75">
      <c r="A25" s="29">
        <v>8</v>
      </c>
      <c r="B25" s="51"/>
      <c r="C25" s="53"/>
      <c r="D25" s="35"/>
      <c r="E25" s="4"/>
      <c r="F25" s="65"/>
      <c r="G25" s="32"/>
      <c r="H25" s="4"/>
      <c r="I25" s="4"/>
      <c r="J25" s="26"/>
      <c r="K25" s="25"/>
    </row>
    <row r="26" spans="1:11" ht="12.75">
      <c r="A26" s="29">
        <v>9</v>
      </c>
      <c r="B26" s="51"/>
      <c r="C26" s="53"/>
      <c r="D26" s="35"/>
      <c r="E26" s="4"/>
      <c r="F26" s="65"/>
      <c r="G26" s="32"/>
      <c r="H26" s="4"/>
      <c r="I26" s="4"/>
      <c r="J26" s="26"/>
      <c r="K26" s="25"/>
    </row>
    <row r="27" spans="1:11" ht="12.75">
      <c r="A27" s="29">
        <v>10</v>
      </c>
      <c r="B27" s="51"/>
      <c r="C27" s="53"/>
      <c r="D27" s="35"/>
      <c r="E27" s="4"/>
      <c r="F27" s="65"/>
      <c r="G27" s="32"/>
      <c r="H27" s="4"/>
      <c r="I27" s="4"/>
      <c r="J27" s="26"/>
      <c r="K27" s="25"/>
    </row>
    <row r="28" spans="1:11" ht="12.75">
      <c r="A28" s="29">
        <v>11</v>
      </c>
      <c r="B28" s="51"/>
      <c r="C28" s="53"/>
      <c r="D28" s="35"/>
      <c r="E28" s="4"/>
      <c r="F28" s="65"/>
      <c r="G28" s="32"/>
      <c r="H28" s="4"/>
      <c r="I28" s="4"/>
      <c r="J28" s="26"/>
      <c r="K28" s="25"/>
    </row>
    <row r="29" spans="1:11" ht="12.75">
      <c r="A29" s="29">
        <v>12</v>
      </c>
      <c r="B29" s="51"/>
      <c r="C29" s="53"/>
      <c r="D29" s="35"/>
      <c r="E29" s="4"/>
      <c r="F29" s="65"/>
      <c r="G29" s="32"/>
      <c r="H29" s="4"/>
      <c r="I29" s="4"/>
      <c r="J29" s="26"/>
      <c r="K29" s="25"/>
    </row>
    <row r="30" spans="1:11" ht="12.75">
      <c r="A30" s="29">
        <v>13</v>
      </c>
      <c r="B30" s="51"/>
      <c r="C30" s="53"/>
      <c r="D30" s="35"/>
      <c r="E30" s="4"/>
      <c r="F30" s="65"/>
      <c r="G30" s="32"/>
      <c r="H30" s="4"/>
      <c r="I30" s="4"/>
      <c r="J30" s="26"/>
      <c r="K30" s="25"/>
    </row>
    <row r="31" spans="1:11" ht="12.75">
      <c r="A31" s="29">
        <v>14</v>
      </c>
      <c r="B31" s="51"/>
      <c r="C31" s="53"/>
      <c r="D31" s="35"/>
      <c r="E31" s="4"/>
      <c r="F31" s="65"/>
      <c r="G31" s="32"/>
      <c r="H31" s="4"/>
      <c r="I31" s="4"/>
      <c r="J31" s="35"/>
      <c r="K31" s="25"/>
    </row>
    <row r="32" spans="1:11" ht="12.75">
      <c r="A32" s="29">
        <v>15</v>
      </c>
      <c r="B32" s="28"/>
      <c r="C32" s="52"/>
      <c r="D32" s="26"/>
      <c r="E32" s="2"/>
      <c r="F32" s="66"/>
      <c r="G32" s="3"/>
      <c r="H32" s="2"/>
      <c r="I32" s="2"/>
      <c r="J32" s="26"/>
      <c r="K32" s="25"/>
    </row>
    <row r="33" spans="1:11" ht="13.5" thickBot="1">
      <c r="A33" s="104">
        <v>16</v>
      </c>
      <c r="B33" s="105"/>
      <c r="C33" s="106"/>
      <c r="D33" s="107"/>
      <c r="E33" s="108"/>
      <c r="F33" s="109"/>
      <c r="G33" s="110"/>
      <c r="H33" s="108"/>
      <c r="I33" s="108"/>
      <c r="J33" s="107"/>
      <c r="K33" s="111"/>
    </row>
    <row r="34" spans="1:11" ht="13.5" thickBot="1">
      <c r="A34" s="79"/>
      <c r="B34" s="80"/>
      <c r="C34" s="44"/>
      <c r="D34" s="81"/>
      <c r="E34" s="21"/>
      <c r="F34" s="77"/>
      <c r="G34" s="37"/>
      <c r="H34" s="21"/>
      <c r="I34" s="21"/>
      <c r="J34" s="81"/>
      <c r="K34" s="48"/>
    </row>
    <row r="35" spans="1:11" s="14" customFormat="1" ht="13.5" customHeight="1">
      <c r="A35" s="264" t="s">
        <v>53</v>
      </c>
      <c r="B35" s="265"/>
      <c r="C35" s="265"/>
      <c r="D35" s="265"/>
      <c r="E35" s="265"/>
      <c r="F35" s="45">
        <f>SUM(F18:F33)</f>
        <v>10000</v>
      </c>
      <c r="G35" s="45">
        <f>SUM(G18:G33)</f>
        <v>141.8</v>
      </c>
      <c r="H35" s="266"/>
      <c r="I35" s="267"/>
      <c r="J35" s="267"/>
      <c r="K35" s="94"/>
    </row>
    <row r="36" spans="1:11" s="14" customFormat="1" ht="13.5" customHeight="1">
      <c r="A36" s="112"/>
      <c r="B36" s="278" t="s">
        <v>24</v>
      </c>
      <c r="C36" s="279"/>
      <c r="D36" s="280"/>
      <c r="E36" s="281"/>
      <c r="F36" s="113"/>
      <c r="G36" s="113"/>
      <c r="H36" s="282"/>
      <c r="I36" s="283"/>
      <c r="J36" s="283"/>
      <c r="K36" s="54"/>
    </row>
    <row r="37" spans="1:11" s="14" customFormat="1" ht="13.5" customHeight="1">
      <c r="A37" s="112"/>
      <c r="B37" s="278"/>
      <c r="C37" s="284"/>
      <c r="D37" s="280"/>
      <c r="E37" s="281"/>
      <c r="F37" s="114"/>
      <c r="G37" s="114"/>
      <c r="H37" s="270"/>
      <c r="I37" s="279"/>
      <c r="J37" s="279"/>
      <c r="K37" s="55"/>
    </row>
    <row r="38" spans="1:11" s="14" customFormat="1" ht="13.5" customHeight="1">
      <c r="A38" s="115"/>
      <c r="B38" s="278" t="s">
        <v>4</v>
      </c>
      <c r="C38" s="293"/>
      <c r="D38" s="280"/>
      <c r="E38" s="281"/>
      <c r="F38" s="43">
        <v>0</v>
      </c>
      <c r="G38" s="43">
        <v>0</v>
      </c>
      <c r="H38" s="294"/>
      <c r="I38" s="295"/>
      <c r="J38" s="295"/>
      <c r="K38" s="57"/>
    </row>
    <row r="39" spans="1:11" s="14" customFormat="1" ht="13.5" customHeight="1">
      <c r="A39" s="115"/>
      <c r="B39" s="291" t="s">
        <v>3</v>
      </c>
      <c r="C39" s="291"/>
      <c r="D39" s="292"/>
      <c r="E39" s="292"/>
      <c r="F39" s="43">
        <f>F35-F37-F38</f>
        <v>10000</v>
      </c>
      <c r="G39" s="43">
        <f>G35-G37-G38</f>
        <v>141.8</v>
      </c>
      <c r="H39" s="289"/>
      <c r="I39" s="290"/>
      <c r="J39" s="290"/>
      <c r="K39" s="36"/>
    </row>
    <row r="40" spans="1:11" s="14" customFormat="1" ht="13.5" customHeight="1" thickBot="1">
      <c r="A40" s="274" t="s">
        <v>121</v>
      </c>
      <c r="B40" s="275"/>
      <c r="C40" s="275"/>
      <c r="D40" s="275"/>
      <c r="E40" s="275"/>
      <c r="F40" s="47">
        <f>F16-F35</f>
        <v>6480</v>
      </c>
      <c r="G40" s="47">
        <f>G16-G35</f>
        <v>37373.38</v>
      </c>
      <c r="H40" s="276"/>
      <c r="I40" s="277"/>
      <c r="J40" s="277"/>
      <c r="K40" s="56"/>
    </row>
    <row r="41" spans="1:11" s="63" customFormat="1" ht="13.5" customHeight="1">
      <c r="A41" s="58"/>
      <c r="B41" s="58"/>
      <c r="C41" s="58"/>
      <c r="D41" s="58"/>
      <c r="E41" s="58"/>
      <c r="F41" s="59"/>
      <c r="G41" s="59"/>
      <c r="H41" s="61"/>
      <c r="I41" s="64"/>
      <c r="J41" s="64"/>
      <c r="K41" s="62"/>
    </row>
    <row r="42" spans="1:11" s="10" customFormat="1" ht="11.25">
      <c r="A42" s="21"/>
      <c r="B42" s="49"/>
      <c r="C42" s="21"/>
      <c r="D42" s="21"/>
      <c r="E42" s="21"/>
      <c r="F42" s="50"/>
      <c r="G42" s="37"/>
      <c r="H42" s="21"/>
      <c r="I42" s="21"/>
      <c r="J42" s="21"/>
      <c r="K42" s="23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  <row r="63" ht="12.75">
      <c r="K63" s="1"/>
    </row>
  </sheetData>
  <sheetProtection/>
  <mergeCells count="38"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  <mergeCell ref="A11:E11"/>
    <mergeCell ref="H11:J11"/>
    <mergeCell ref="A12:E12"/>
    <mergeCell ref="H12:J12"/>
    <mergeCell ref="I6:I7"/>
    <mergeCell ref="J6:J7"/>
    <mergeCell ref="G6:G7"/>
    <mergeCell ref="H6:H7"/>
    <mergeCell ref="A15:E15"/>
    <mergeCell ref="H15:J15"/>
    <mergeCell ref="A13:E13"/>
    <mergeCell ref="H13:J13"/>
    <mergeCell ref="A14:E14"/>
    <mergeCell ref="H14:J14"/>
    <mergeCell ref="B36:E36"/>
    <mergeCell ref="H36:J36"/>
    <mergeCell ref="B37:E37"/>
    <mergeCell ref="H37:J37"/>
    <mergeCell ref="A16:E16"/>
    <mergeCell ref="H16:J16"/>
    <mergeCell ref="A35:E35"/>
    <mergeCell ref="H35:J35"/>
    <mergeCell ref="B38:E38"/>
    <mergeCell ref="H38:J38"/>
    <mergeCell ref="B39:E39"/>
    <mergeCell ref="H39:J39"/>
    <mergeCell ref="A40:E40"/>
    <mergeCell ref="H40:J40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L63"/>
  <sheetViews>
    <sheetView zoomScale="150" zoomScaleNormal="150" zoomScalePageLayoutView="0" workbookViewId="0" topLeftCell="A1">
      <selection activeCell="F26" sqref="F26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7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201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138</v>
      </c>
      <c r="I2" s="10"/>
      <c r="J2" s="10"/>
      <c r="K2" s="10"/>
    </row>
    <row r="3" spans="1:12" ht="12.75" customHeight="1">
      <c r="A3" s="253" t="s">
        <v>117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39"/>
    </row>
    <row r="4" spans="1:11" ht="12.75" customHeight="1">
      <c r="A4" s="253" t="s">
        <v>200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55" t="s">
        <v>9</v>
      </c>
      <c r="B6" s="257" t="s">
        <v>0</v>
      </c>
      <c r="C6" s="257" t="s">
        <v>1</v>
      </c>
      <c r="D6" s="257" t="s">
        <v>10</v>
      </c>
      <c r="E6" s="257" t="s">
        <v>11</v>
      </c>
      <c r="F6" s="257" t="s">
        <v>12</v>
      </c>
      <c r="G6" s="311" t="s">
        <v>13</v>
      </c>
      <c r="H6" s="257" t="s">
        <v>14</v>
      </c>
      <c r="I6" s="257" t="s">
        <v>15</v>
      </c>
      <c r="J6" s="257" t="s">
        <v>16</v>
      </c>
      <c r="K6" s="259" t="s">
        <v>2</v>
      </c>
    </row>
    <row r="7" spans="1:11" ht="13.5" thickBot="1">
      <c r="A7" s="256"/>
      <c r="B7" s="258"/>
      <c r="C7" s="258"/>
      <c r="D7" s="258"/>
      <c r="E7" s="258"/>
      <c r="F7" s="258"/>
      <c r="G7" s="312"/>
      <c r="H7" s="258"/>
      <c r="I7" s="258"/>
      <c r="J7" s="258"/>
      <c r="K7" s="260"/>
    </row>
    <row r="8" spans="1:11" ht="13.5" thickBot="1">
      <c r="A8" s="38"/>
      <c r="B8" s="38"/>
      <c r="C8" s="38"/>
      <c r="D8" s="38"/>
      <c r="E8" s="38"/>
      <c r="F8" s="38"/>
      <c r="G8" s="138"/>
      <c r="H8" s="38"/>
      <c r="I8" s="38"/>
      <c r="J8" s="38"/>
      <c r="K8" s="38"/>
    </row>
    <row r="9" spans="1:11" ht="21" customHeight="1" thickBot="1">
      <c r="A9" s="261" t="s">
        <v>74</v>
      </c>
      <c r="B9" s="262"/>
      <c r="C9" s="262"/>
      <c r="D9" s="262"/>
      <c r="E9" s="262"/>
      <c r="F9" s="262"/>
      <c r="G9" s="262"/>
      <c r="H9" s="262"/>
      <c r="I9" s="262"/>
      <c r="J9" s="262"/>
      <c r="K9" s="263"/>
    </row>
    <row r="10" spans="1:11" s="14" customFormat="1" ht="12.75" customHeight="1">
      <c r="A10" s="15"/>
      <c r="B10" s="16"/>
      <c r="C10" s="16" t="s">
        <v>31</v>
      </c>
      <c r="D10" s="17">
        <v>175</v>
      </c>
      <c r="E10" s="18" t="s">
        <v>35</v>
      </c>
      <c r="F10" s="19"/>
      <c r="G10" s="139"/>
      <c r="H10" s="11" t="s">
        <v>8</v>
      </c>
      <c r="I10" s="135">
        <f>F12/D10/12</f>
        <v>2.9447619047619047</v>
      </c>
      <c r="J10" s="13" t="s">
        <v>36</v>
      </c>
      <c r="K10" s="20"/>
    </row>
    <row r="11" spans="1:11" s="14" customFormat="1" ht="13.5" customHeight="1">
      <c r="A11" s="272" t="s">
        <v>118</v>
      </c>
      <c r="B11" s="273"/>
      <c r="C11" s="273"/>
      <c r="D11" s="273"/>
      <c r="E11" s="273"/>
      <c r="F11" s="42">
        <v>3840</v>
      </c>
      <c r="G11" s="42">
        <v>20785.5</v>
      </c>
      <c r="H11" s="270"/>
      <c r="I11" s="271"/>
      <c r="J11" s="271"/>
      <c r="K11" s="55"/>
    </row>
    <row r="12" spans="1:11" s="14" customFormat="1" ht="13.5" customHeight="1">
      <c r="A12" s="268" t="s">
        <v>34</v>
      </c>
      <c r="B12" s="269"/>
      <c r="C12" s="269"/>
      <c r="D12" s="269"/>
      <c r="E12" s="269"/>
      <c r="F12" s="42">
        <f>13840-F14</f>
        <v>6184</v>
      </c>
      <c r="G12" s="42">
        <v>13840</v>
      </c>
      <c r="H12" s="270"/>
      <c r="I12" s="271"/>
      <c r="J12" s="271"/>
      <c r="K12" s="55"/>
    </row>
    <row r="13" spans="1:11" s="14" customFormat="1" ht="13.5" customHeight="1">
      <c r="A13" s="268" t="s">
        <v>50</v>
      </c>
      <c r="B13" s="269"/>
      <c r="C13" s="269"/>
      <c r="D13" s="269"/>
      <c r="E13" s="269"/>
      <c r="F13" s="42">
        <f>-(D10*12*0)</f>
        <v>0</v>
      </c>
      <c r="G13" s="42">
        <v>0</v>
      </c>
      <c r="H13" s="270"/>
      <c r="I13" s="271"/>
      <c r="J13" s="271"/>
      <c r="K13" s="55"/>
    </row>
    <row r="14" spans="1:11" s="41" customFormat="1" ht="12.75" customHeight="1">
      <c r="A14" s="272" t="s">
        <v>99</v>
      </c>
      <c r="B14" s="273"/>
      <c r="C14" s="273"/>
      <c r="D14" s="273"/>
      <c r="E14" s="273"/>
      <c r="F14" s="42">
        <v>7656</v>
      </c>
      <c r="G14" s="42">
        <v>7643.87</v>
      </c>
      <c r="H14" s="270"/>
      <c r="I14" s="271"/>
      <c r="J14" s="271"/>
      <c r="K14" s="55"/>
    </row>
    <row r="15" spans="1:11" s="14" customFormat="1" ht="13.5" customHeight="1">
      <c r="A15" s="268" t="s">
        <v>104</v>
      </c>
      <c r="B15" s="269"/>
      <c r="C15" s="269"/>
      <c r="D15" s="269"/>
      <c r="E15" s="269"/>
      <c r="F15" s="42">
        <v>0</v>
      </c>
      <c r="G15" s="42">
        <v>0</v>
      </c>
      <c r="H15" s="270"/>
      <c r="I15" s="271"/>
      <c r="J15" s="271"/>
      <c r="K15" s="55"/>
    </row>
    <row r="16" spans="1:11" s="40" customFormat="1" ht="12.75" customHeight="1" thickBot="1">
      <c r="A16" s="287" t="s">
        <v>107</v>
      </c>
      <c r="B16" s="288"/>
      <c r="C16" s="288"/>
      <c r="D16" s="288"/>
      <c r="E16" s="288"/>
      <c r="F16" s="46">
        <f>F11+F12+F13+F14+F15</f>
        <v>17680</v>
      </c>
      <c r="G16" s="46">
        <f>G11+G12+G13+G14+G15</f>
        <v>42269.37</v>
      </c>
      <c r="H16" s="276"/>
      <c r="I16" s="277"/>
      <c r="J16" s="277"/>
      <c r="K16" s="56"/>
    </row>
    <row r="17" spans="1:11" s="86" customFormat="1" ht="13.5" customHeight="1" thickBot="1">
      <c r="A17" s="58"/>
      <c r="B17" s="58"/>
      <c r="C17" s="58"/>
      <c r="D17" s="58"/>
      <c r="E17" s="58"/>
      <c r="F17" s="59"/>
      <c r="G17" s="59"/>
      <c r="H17" s="61"/>
      <c r="I17" s="64"/>
      <c r="J17" s="64"/>
      <c r="K17" s="62"/>
    </row>
    <row r="18" spans="1:11" s="132" customFormat="1" ht="14.25" customHeight="1">
      <c r="A18" s="177">
        <v>1</v>
      </c>
      <c r="B18" s="153" t="s">
        <v>40</v>
      </c>
      <c r="C18" s="153" t="s">
        <v>21</v>
      </c>
      <c r="D18" s="71"/>
      <c r="E18" s="71"/>
      <c r="F18" s="72">
        <v>10000</v>
      </c>
      <c r="G18" s="245"/>
      <c r="H18" s="71">
        <v>2013</v>
      </c>
      <c r="I18" s="71"/>
      <c r="J18" s="178" t="s">
        <v>3</v>
      </c>
      <c r="K18" s="179"/>
    </row>
    <row r="19" spans="1:11" s="132" customFormat="1" ht="14.25" customHeight="1">
      <c r="A19" s="131">
        <v>2</v>
      </c>
      <c r="B19" s="125"/>
      <c r="C19" s="167" t="s">
        <v>180</v>
      </c>
      <c r="D19" s="170"/>
      <c r="E19" s="170"/>
      <c r="F19" s="169"/>
      <c r="G19" s="218">
        <v>727.56</v>
      </c>
      <c r="H19" s="174">
        <v>2013</v>
      </c>
      <c r="I19" s="170"/>
      <c r="J19" s="170" t="s">
        <v>3</v>
      </c>
      <c r="K19" s="180"/>
    </row>
    <row r="20" spans="1:11" s="132" customFormat="1" ht="12.75">
      <c r="A20" s="126">
        <v>3</v>
      </c>
      <c r="B20" s="53"/>
      <c r="C20" s="53"/>
      <c r="D20" s="127"/>
      <c r="E20" s="127"/>
      <c r="F20" s="66"/>
      <c r="G20" s="65"/>
      <c r="H20" s="127"/>
      <c r="I20" s="127"/>
      <c r="J20" s="68"/>
      <c r="K20" s="181"/>
    </row>
    <row r="21" spans="1:11" s="132" customFormat="1" ht="12.75">
      <c r="A21" s="126">
        <v>4</v>
      </c>
      <c r="B21" s="53"/>
      <c r="C21" s="53"/>
      <c r="D21" s="127"/>
      <c r="E21" s="127"/>
      <c r="F21" s="65"/>
      <c r="G21" s="65"/>
      <c r="H21" s="127"/>
      <c r="I21" s="127"/>
      <c r="J21" s="127"/>
      <c r="K21" s="182"/>
    </row>
    <row r="22" spans="1:11" s="132" customFormat="1" ht="12.75">
      <c r="A22" s="126">
        <v>5</v>
      </c>
      <c r="B22" s="53"/>
      <c r="C22" s="53"/>
      <c r="D22" s="127"/>
      <c r="E22" s="127"/>
      <c r="F22" s="65"/>
      <c r="G22" s="65"/>
      <c r="H22" s="127"/>
      <c r="I22" s="127"/>
      <c r="J22" s="127"/>
      <c r="K22" s="182"/>
    </row>
    <row r="23" spans="1:11" s="132" customFormat="1" ht="12.75">
      <c r="A23" s="126">
        <v>6</v>
      </c>
      <c r="B23" s="53"/>
      <c r="C23" s="53"/>
      <c r="D23" s="127"/>
      <c r="E23" s="127"/>
      <c r="F23" s="65"/>
      <c r="G23" s="65"/>
      <c r="H23" s="127"/>
      <c r="I23" s="127"/>
      <c r="J23" s="127"/>
      <c r="K23" s="182"/>
    </row>
    <row r="24" spans="1:11" s="132" customFormat="1" ht="12.75">
      <c r="A24" s="131">
        <v>7</v>
      </c>
      <c r="B24" s="125"/>
      <c r="C24" s="52"/>
      <c r="D24" s="68"/>
      <c r="E24" s="68"/>
      <c r="F24" s="66"/>
      <c r="G24" s="66"/>
      <c r="H24" s="68"/>
      <c r="I24" s="68"/>
      <c r="J24" s="68"/>
      <c r="K24" s="180"/>
    </row>
    <row r="25" spans="1:11" s="132" customFormat="1" ht="12.75">
      <c r="A25" s="131">
        <v>8</v>
      </c>
      <c r="B25" s="134"/>
      <c r="C25" s="53"/>
      <c r="D25" s="127"/>
      <c r="E25" s="127"/>
      <c r="F25" s="65"/>
      <c r="G25" s="65"/>
      <c r="H25" s="127"/>
      <c r="I25" s="127"/>
      <c r="J25" s="68"/>
      <c r="K25" s="180"/>
    </row>
    <row r="26" spans="1:11" s="132" customFormat="1" ht="12.75">
      <c r="A26" s="131">
        <v>9</v>
      </c>
      <c r="B26" s="134"/>
      <c r="C26" s="53"/>
      <c r="D26" s="127"/>
      <c r="E26" s="127"/>
      <c r="F26" s="65"/>
      <c r="G26" s="65"/>
      <c r="H26" s="127"/>
      <c r="I26" s="127"/>
      <c r="J26" s="127"/>
      <c r="K26" s="180"/>
    </row>
    <row r="27" spans="1:11" s="132" customFormat="1" ht="12.75">
      <c r="A27" s="131">
        <v>10</v>
      </c>
      <c r="B27" s="134"/>
      <c r="C27" s="53"/>
      <c r="D27" s="127"/>
      <c r="E27" s="127"/>
      <c r="F27" s="65"/>
      <c r="G27" s="65"/>
      <c r="H27" s="127"/>
      <c r="I27" s="127"/>
      <c r="J27" s="127"/>
      <c r="K27" s="180"/>
    </row>
    <row r="28" spans="1:11" s="132" customFormat="1" ht="12.75">
      <c r="A28" s="131">
        <v>11</v>
      </c>
      <c r="B28" s="134"/>
      <c r="C28" s="53"/>
      <c r="D28" s="127"/>
      <c r="E28" s="127"/>
      <c r="F28" s="65"/>
      <c r="G28" s="65"/>
      <c r="H28" s="127"/>
      <c r="I28" s="127"/>
      <c r="J28" s="127"/>
      <c r="K28" s="180"/>
    </row>
    <row r="29" spans="1:11" s="132" customFormat="1" ht="12.75">
      <c r="A29" s="131">
        <v>12</v>
      </c>
      <c r="B29" s="134"/>
      <c r="C29" s="53"/>
      <c r="D29" s="127"/>
      <c r="E29" s="127"/>
      <c r="F29" s="65"/>
      <c r="G29" s="65"/>
      <c r="H29" s="127"/>
      <c r="I29" s="127"/>
      <c r="J29" s="127"/>
      <c r="K29" s="180"/>
    </row>
    <row r="30" spans="1:11" s="132" customFormat="1" ht="12.75">
      <c r="A30" s="131">
        <v>13</v>
      </c>
      <c r="B30" s="134"/>
      <c r="C30" s="53"/>
      <c r="D30" s="127"/>
      <c r="E30" s="127"/>
      <c r="F30" s="65"/>
      <c r="G30" s="65"/>
      <c r="H30" s="127"/>
      <c r="I30" s="127"/>
      <c r="J30" s="127"/>
      <c r="K30" s="180"/>
    </row>
    <row r="31" spans="1:11" s="132" customFormat="1" ht="12.75">
      <c r="A31" s="131">
        <v>14</v>
      </c>
      <c r="B31" s="134"/>
      <c r="C31" s="53"/>
      <c r="D31" s="127"/>
      <c r="E31" s="127"/>
      <c r="F31" s="65"/>
      <c r="G31" s="65"/>
      <c r="H31" s="127"/>
      <c r="I31" s="127"/>
      <c r="J31" s="127"/>
      <c r="K31" s="180"/>
    </row>
    <row r="32" spans="1:11" s="132" customFormat="1" ht="12.75">
      <c r="A32" s="131">
        <v>15</v>
      </c>
      <c r="B32" s="125"/>
      <c r="C32" s="52"/>
      <c r="D32" s="68"/>
      <c r="E32" s="68"/>
      <c r="F32" s="66"/>
      <c r="G32" s="66"/>
      <c r="H32" s="68"/>
      <c r="I32" s="68"/>
      <c r="J32" s="68"/>
      <c r="K32" s="180"/>
    </row>
    <row r="33" spans="1:11" s="132" customFormat="1" ht="13.5" thickBot="1">
      <c r="A33" s="152">
        <v>16</v>
      </c>
      <c r="B33" s="183"/>
      <c r="C33" s="106"/>
      <c r="D33" s="119"/>
      <c r="E33" s="119"/>
      <c r="F33" s="109"/>
      <c r="G33" s="109"/>
      <c r="H33" s="119"/>
      <c r="I33" s="119"/>
      <c r="J33" s="119"/>
      <c r="K33" s="184"/>
    </row>
    <row r="34" spans="1:11" ht="13.5" thickBot="1">
      <c r="A34" s="79"/>
      <c r="B34" s="80"/>
      <c r="C34" s="44"/>
      <c r="D34" s="81"/>
      <c r="E34" s="21"/>
      <c r="F34" s="77"/>
      <c r="G34" s="37"/>
      <c r="H34" s="21"/>
      <c r="I34" s="21"/>
      <c r="J34" s="81"/>
      <c r="K34" s="48"/>
    </row>
    <row r="35" spans="1:11" s="14" customFormat="1" ht="13.5" customHeight="1">
      <c r="A35" s="264" t="s">
        <v>53</v>
      </c>
      <c r="B35" s="265"/>
      <c r="C35" s="265"/>
      <c r="D35" s="265"/>
      <c r="E35" s="265"/>
      <c r="F35" s="45">
        <f>SUM(F18:F33)</f>
        <v>10000</v>
      </c>
      <c r="G35" s="45">
        <f>SUM(G18:G33)</f>
        <v>727.56</v>
      </c>
      <c r="H35" s="266"/>
      <c r="I35" s="267"/>
      <c r="J35" s="267"/>
      <c r="K35" s="94"/>
    </row>
    <row r="36" spans="1:11" s="14" customFormat="1" ht="13.5" customHeight="1">
      <c r="A36" s="112"/>
      <c r="B36" s="278" t="s">
        <v>24</v>
      </c>
      <c r="C36" s="279"/>
      <c r="D36" s="280"/>
      <c r="E36" s="281"/>
      <c r="F36" s="113"/>
      <c r="G36" s="113"/>
      <c r="H36" s="282"/>
      <c r="I36" s="283"/>
      <c r="J36" s="283"/>
      <c r="K36" s="54"/>
    </row>
    <row r="37" spans="1:11" s="14" customFormat="1" ht="13.5" customHeight="1">
      <c r="A37" s="112"/>
      <c r="B37" s="278"/>
      <c r="C37" s="284"/>
      <c r="D37" s="280"/>
      <c r="E37" s="281"/>
      <c r="F37" s="114"/>
      <c r="G37" s="114"/>
      <c r="H37" s="270"/>
      <c r="I37" s="279"/>
      <c r="J37" s="279"/>
      <c r="K37" s="55"/>
    </row>
    <row r="38" spans="1:11" s="14" customFormat="1" ht="13.5" customHeight="1">
      <c r="A38" s="115"/>
      <c r="B38" s="278" t="s">
        <v>4</v>
      </c>
      <c r="C38" s="293"/>
      <c r="D38" s="280"/>
      <c r="E38" s="281"/>
      <c r="F38" s="43">
        <v>0</v>
      </c>
      <c r="G38" s="43">
        <v>0</v>
      </c>
      <c r="H38" s="294"/>
      <c r="I38" s="295"/>
      <c r="J38" s="295"/>
      <c r="K38" s="57"/>
    </row>
    <row r="39" spans="1:11" s="14" customFormat="1" ht="13.5" customHeight="1">
      <c r="A39" s="115"/>
      <c r="B39" s="291" t="s">
        <v>3</v>
      </c>
      <c r="C39" s="291"/>
      <c r="D39" s="292"/>
      <c r="E39" s="292"/>
      <c r="F39" s="43">
        <f>F35-F37-F38</f>
        <v>10000</v>
      </c>
      <c r="G39" s="43">
        <f>G35-G37-G38</f>
        <v>727.56</v>
      </c>
      <c r="H39" s="289"/>
      <c r="I39" s="290"/>
      <c r="J39" s="290"/>
      <c r="K39" s="36"/>
    </row>
    <row r="40" spans="1:11" s="14" customFormat="1" ht="13.5" customHeight="1" thickBot="1">
      <c r="A40" s="274" t="s">
        <v>121</v>
      </c>
      <c r="B40" s="275"/>
      <c r="C40" s="275"/>
      <c r="D40" s="275"/>
      <c r="E40" s="275"/>
      <c r="F40" s="47">
        <f>F16-F35</f>
        <v>7680</v>
      </c>
      <c r="G40" s="47">
        <f>G16-G35</f>
        <v>41541.810000000005</v>
      </c>
      <c r="H40" s="276"/>
      <c r="I40" s="277"/>
      <c r="J40" s="277"/>
      <c r="K40" s="56"/>
    </row>
    <row r="41" spans="1:11" s="63" customFormat="1" ht="13.5" customHeight="1">
      <c r="A41" s="58"/>
      <c r="B41" s="58"/>
      <c r="C41" s="58"/>
      <c r="D41" s="58"/>
      <c r="E41" s="58"/>
      <c r="F41" s="59"/>
      <c r="G41" s="59"/>
      <c r="H41" s="61"/>
      <c r="I41" s="64"/>
      <c r="J41" s="64"/>
      <c r="K41" s="62"/>
    </row>
    <row r="42" spans="1:11" s="10" customFormat="1" ht="11.25">
      <c r="A42" s="21"/>
      <c r="B42" s="49"/>
      <c r="C42" s="21"/>
      <c r="D42" s="21"/>
      <c r="E42" s="21"/>
      <c r="F42" s="50"/>
      <c r="G42" s="37"/>
      <c r="H42" s="21"/>
      <c r="I42" s="21"/>
      <c r="J42" s="21"/>
      <c r="K42" s="23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  <row r="63" ht="12.75">
      <c r="K63" s="1"/>
    </row>
  </sheetData>
  <sheetProtection/>
  <mergeCells count="38"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  <mergeCell ref="A11:E11"/>
    <mergeCell ref="H11:J11"/>
    <mergeCell ref="A12:E12"/>
    <mergeCell ref="H12:J12"/>
    <mergeCell ref="I6:I7"/>
    <mergeCell ref="J6:J7"/>
    <mergeCell ref="G6:G7"/>
    <mergeCell ref="H6:H7"/>
    <mergeCell ref="A15:E15"/>
    <mergeCell ref="H15:J15"/>
    <mergeCell ref="A13:E13"/>
    <mergeCell ref="H13:J13"/>
    <mergeCell ref="A14:E14"/>
    <mergeCell ref="H14:J14"/>
    <mergeCell ref="B36:E36"/>
    <mergeCell ref="H36:J36"/>
    <mergeCell ref="B37:E37"/>
    <mergeCell ref="H37:J37"/>
    <mergeCell ref="A16:E16"/>
    <mergeCell ref="H16:J16"/>
    <mergeCell ref="A35:E35"/>
    <mergeCell ref="H35:J35"/>
    <mergeCell ref="A40:E40"/>
    <mergeCell ref="H40:J40"/>
    <mergeCell ref="B38:E38"/>
    <mergeCell ref="H38:J38"/>
    <mergeCell ref="B39:E39"/>
    <mergeCell ref="H39:J39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L63"/>
  <sheetViews>
    <sheetView zoomScale="150" zoomScaleNormal="150" zoomScalePageLayoutView="0" workbookViewId="0" topLeftCell="A5">
      <selection activeCell="G21" sqref="G21:G23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7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201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138</v>
      </c>
      <c r="I2" s="10"/>
      <c r="J2" s="10"/>
      <c r="K2" s="10"/>
    </row>
    <row r="3" spans="1:12" ht="12.75" customHeight="1">
      <c r="A3" s="253" t="s">
        <v>117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39"/>
    </row>
    <row r="4" spans="1:11" ht="12.75" customHeight="1">
      <c r="A4" s="253" t="s">
        <v>200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55" t="s">
        <v>9</v>
      </c>
      <c r="B6" s="257" t="s">
        <v>0</v>
      </c>
      <c r="C6" s="257" t="s">
        <v>1</v>
      </c>
      <c r="D6" s="257" t="s">
        <v>10</v>
      </c>
      <c r="E6" s="257" t="s">
        <v>11</v>
      </c>
      <c r="F6" s="257" t="s">
        <v>12</v>
      </c>
      <c r="G6" s="311" t="s">
        <v>13</v>
      </c>
      <c r="H6" s="257" t="s">
        <v>14</v>
      </c>
      <c r="I6" s="257" t="s">
        <v>15</v>
      </c>
      <c r="J6" s="257" t="s">
        <v>16</v>
      </c>
      <c r="K6" s="259" t="s">
        <v>2</v>
      </c>
    </row>
    <row r="7" spans="1:11" ht="13.5" thickBot="1">
      <c r="A7" s="256"/>
      <c r="B7" s="258"/>
      <c r="C7" s="258"/>
      <c r="D7" s="258"/>
      <c r="E7" s="258"/>
      <c r="F7" s="258"/>
      <c r="G7" s="312"/>
      <c r="H7" s="258"/>
      <c r="I7" s="258"/>
      <c r="J7" s="258"/>
      <c r="K7" s="260"/>
    </row>
    <row r="8" spans="1:11" ht="13.5" thickBot="1">
      <c r="A8" s="38"/>
      <c r="B8" s="38"/>
      <c r="C8" s="38"/>
      <c r="D8" s="38"/>
      <c r="E8" s="38"/>
      <c r="F8" s="38"/>
      <c r="G8" s="138"/>
      <c r="H8" s="38"/>
      <c r="I8" s="38"/>
      <c r="J8" s="38"/>
      <c r="K8" s="38"/>
    </row>
    <row r="9" spans="1:11" ht="21" customHeight="1" thickBot="1">
      <c r="A9" s="261" t="s">
        <v>75</v>
      </c>
      <c r="B9" s="262"/>
      <c r="C9" s="262"/>
      <c r="D9" s="262"/>
      <c r="E9" s="262"/>
      <c r="F9" s="262"/>
      <c r="G9" s="262"/>
      <c r="H9" s="262"/>
      <c r="I9" s="262"/>
      <c r="J9" s="262"/>
      <c r="K9" s="263"/>
    </row>
    <row r="10" spans="1:11" s="14" customFormat="1" ht="12.75" customHeight="1">
      <c r="A10" s="15"/>
      <c r="B10" s="16"/>
      <c r="C10" s="16" t="s">
        <v>31</v>
      </c>
      <c r="D10" s="17">
        <v>255</v>
      </c>
      <c r="E10" s="18" t="s">
        <v>35</v>
      </c>
      <c r="F10" s="19"/>
      <c r="G10" s="139"/>
      <c r="H10" s="11" t="s">
        <v>8</v>
      </c>
      <c r="I10" s="135">
        <f>F12/D10/12</f>
        <v>8.4640522875817</v>
      </c>
      <c r="J10" s="13" t="s">
        <v>36</v>
      </c>
      <c r="K10" s="20"/>
    </row>
    <row r="11" spans="1:11" s="14" customFormat="1" ht="13.5" customHeight="1">
      <c r="A11" s="272" t="s">
        <v>118</v>
      </c>
      <c r="B11" s="273"/>
      <c r="C11" s="273"/>
      <c r="D11" s="273"/>
      <c r="E11" s="273"/>
      <c r="F11" s="42">
        <v>8718.74</v>
      </c>
      <c r="G11" s="42">
        <v>-18675.29</v>
      </c>
      <c r="H11" s="270"/>
      <c r="I11" s="271"/>
      <c r="J11" s="271"/>
      <c r="K11" s="55"/>
    </row>
    <row r="12" spans="1:11" s="14" customFormat="1" ht="13.5" customHeight="1">
      <c r="A12" s="268" t="s">
        <v>34</v>
      </c>
      <c r="B12" s="269"/>
      <c r="C12" s="269"/>
      <c r="D12" s="269"/>
      <c r="E12" s="269"/>
      <c r="F12" s="42">
        <f>12950*2</f>
        <v>25900</v>
      </c>
      <c r="G12" s="42">
        <v>25900</v>
      </c>
      <c r="H12" s="270"/>
      <c r="I12" s="271"/>
      <c r="J12" s="271"/>
      <c r="K12" s="55"/>
    </row>
    <row r="13" spans="1:11" s="14" customFormat="1" ht="13.5" customHeight="1">
      <c r="A13" s="268" t="s">
        <v>50</v>
      </c>
      <c r="B13" s="269"/>
      <c r="C13" s="269"/>
      <c r="D13" s="269"/>
      <c r="E13" s="269"/>
      <c r="F13" s="42">
        <f>-(D10*12*0)</f>
        <v>0</v>
      </c>
      <c r="G13" s="42">
        <v>0</v>
      </c>
      <c r="H13" s="270"/>
      <c r="I13" s="271"/>
      <c r="J13" s="271"/>
      <c r="K13" s="55"/>
    </row>
    <row r="14" spans="1:11" s="41" customFormat="1" ht="12.75" customHeight="1">
      <c r="A14" s="272" t="s">
        <v>55</v>
      </c>
      <c r="B14" s="273"/>
      <c r="C14" s="273"/>
      <c r="D14" s="273"/>
      <c r="E14" s="273"/>
      <c r="F14" s="42">
        <v>0</v>
      </c>
      <c r="G14" s="42">
        <v>3186.25</v>
      </c>
      <c r="H14" s="270"/>
      <c r="I14" s="271"/>
      <c r="J14" s="271"/>
      <c r="K14" s="55"/>
    </row>
    <row r="15" spans="1:11" s="14" customFormat="1" ht="13.5" customHeight="1">
      <c r="A15" s="268" t="s">
        <v>104</v>
      </c>
      <c r="B15" s="269"/>
      <c r="C15" s="269"/>
      <c r="D15" s="269"/>
      <c r="E15" s="269"/>
      <c r="F15" s="42">
        <v>0</v>
      </c>
      <c r="G15" s="42">
        <v>0</v>
      </c>
      <c r="H15" s="270"/>
      <c r="I15" s="271"/>
      <c r="J15" s="271"/>
      <c r="K15" s="55"/>
    </row>
    <row r="16" spans="1:11" s="40" customFormat="1" ht="12.75" customHeight="1" thickBot="1">
      <c r="A16" s="287" t="s">
        <v>107</v>
      </c>
      <c r="B16" s="288"/>
      <c r="C16" s="288"/>
      <c r="D16" s="288"/>
      <c r="E16" s="288"/>
      <c r="F16" s="46">
        <f>F11+F12+F13+F14+F15</f>
        <v>34618.74</v>
      </c>
      <c r="G16" s="46">
        <f>G11+G12+G13+G14+G15</f>
        <v>10410.96</v>
      </c>
      <c r="H16" s="276"/>
      <c r="I16" s="277"/>
      <c r="J16" s="277"/>
      <c r="K16" s="56"/>
    </row>
    <row r="17" spans="1:11" s="86" customFormat="1" ht="13.5" customHeight="1" thickBot="1">
      <c r="A17" s="58"/>
      <c r="B17" s="58"/>
      <c r="C17" s="58"/>
      <c r="D17" s="58"/>
      <c r="E17" s="58"/>
      <c r="F17" s="59"/>
      <c r="G17" s="59"/>
      <c r="H17" s="61"/>
      <c r="I17" s="64"/>
      <c r="J17" s="64"/>
      <c r="K17" s="62"/>
    </row>
    <row r="18" spans="1:11" s="132" customFormat="1" ht="14.25" customHeight="1">
      <c r="A18" s="177">
        <v>1</v>
      </c>
      <c r="B18" s="153" t="s">
        <v>56</v>
      </c>
      <c r="C18" s="153" t="s">
        <v>21</v>
      </c>
      <c r="D18" s="71"/>
      <c r="E18" s="71"/>
      <c r="F18" s="72">
        <v>25000</v>
      </c>
      <c r="G18" s="72"/>
      <c r="H18" s="71">
        <v>2013</v>
      </c>
      <c r="I18" s="71"/>
      <c r="J18" s="178" t="s">
        <v>3</v>
      </c>
      <c r="K18" s="179"/>
    </row>
    <row r="19" spans="1:11" s="132" customFormat="1" ht="12.75">
      <c r="A19" s="131">
        <v>2</v>
      </c>
      <c r="B19" s="167" t="s">
        <v>185</v>
      </c>
      <c r="C19" s="166" t="s">
        <v>218</v>
      </c>
      <c r="D19" s="170"/>
      <c r="E19" s="170"/>
      <c r="F19" s="169"/>
      <c r="G19" s="218">
        <v>25022.21</v>
      </c>
      <c r="H19" s="174"/>
      <c r="I19" s="174">
        <v>2013</v>
      </c>
      <c r="J19" s="170" t="s">
        <v>3</v>
      </c>
      <c r="K19" s="180"/>
    </row>
    <row r="20" spans="1:11" s="132" customFormat="1" ht="12.75">
      <c r="A20" s="126">
        <v>3</v>
      </c>
      <c r="B20" s="166" t="s">
        <v>186</v>
      </c>
      <c r="C20" s="166" t="s">
        <v>153</v>
      </c>
      <c r="D20" s="174"/>
      <c r="E20" s="174"/>
      <c r="F20" s="169"/>
      <c r="G20" s="244">
        <f>316.72+3223.56+2075.99</f>
        <v>5616.2699999999995</v>
      </c>
      <c r="H20" s="174"/>
      <c r="I20" s="174">
        <v>2013</v>
      </c>
      <c r="J20" s="170" t="s">
        <v>3</v>
      </c>
      <c r="K20" s="181"/>
    </row>
    <row r="21" spans="1:11" s="132" customFormat="1" ht="12.75">
      <c r="A21" s="126">
        <v>4</v>
      </c>
      <c r="B21" s="166" t="s">
        <v>186</v>
      </c>
      <c r="C21" s="166" t="s">
        <v>154</v>
      </c>
      <c r="D21" s="174"/>
      <c r="E21" s="174"/>
      <c r="F21" s="165"/>
      <c r="G21" s="244">
        <v>1525.8</v>
      </c>
      <c r="H21" s="174"/>
      <c r="I21" s="174">
        <v>2013</v>
      </c>
      <c r="J21" s="174" t="s">
        <v>3</v>
      </c>
      <c r="K21" s="182"/>
    </row>
    <row r="22" spans="1:11" s="132" customFormat="1" ht="12.75">
      <c r="A22" s="126">
        <v>5</v>
      </c>
      <c r="B22" s="166" t="s">
        <v>186</v>
      </c>
      <c r="C22" s="166" t="s">
        <v>187</v>
      </c>
      <c r="D22" s="174"/>
      <c r="E22" s="174"/>
      <c r="F22" s="165"/>
      <c r="G22" s="244">
        <v>17046.72</v>
      </c>
      <c r="H22" s="174"/>
      <c r="I22" s="174">
        <v>2013</v>
      </c>
      <c r="J22" s="174" t="s">
        <v>3</v>
      </c>
      <c r="K22" s="182"/>
    </row>
    <row r="23" spans="1:11" s="132" customFormat="1" ht="12.75">
      <c r="A23" s="126">
        <v>6</v>
      </c>
      <c r="B23" s="166" t="s">
        <v>188</v>
      </c>
      <c r="C23" s="166" t="s">
        <v>219</v>
      </c>
      <c r="D23" s="174"/>
      <c r="E23" s="174"/>
      <c r="F23" s="165"/>
      <c r="G23" s="244">
        <f>4643.85</f>
        <v>4643.85</v>
      </c>
      <c r="H23" s="174"/>
      <c r="I23" s="174">
        <v>2013</v>
      </c>
      <c r="J23" s="174" t="s">
        <v>3</v>
      </c>
      <c r="K23" s="182"/>
    </row>
    <row r="24" spans="1:11" s="132" customFormat="1" ht="12.75">
      <c r="A24" s="131">
        <v>7</v>
      </c>
      <c r="B24" s="217"/>
      <c r="C24" s="173"/>
      <c r="D24" s="170"/>
      <c r="E24" s="170"/>
      <c r="F24" s="169"/>
      <c r="G24" s="218"/>
      <c r="H24" s="170"/>
      <c r="I24" s="170"/>
      <c r="J24" s="170"/>
      <c r="K24" s="180"/>
    </row>
    <row r="25" spans="1:11" s="132" customFormat="1" ht="12.75">
      <c r="A25" s="131">
        <v>8</v>
      </c>
      <c r="B25" s="134"/>
      <c r="C25" s="53"/>
      <c r="D25" s="127"/>
      <c r="E25" s="127"/>
      <c r="F25" s="65"/>
      <c r="G25" s="65"/>
      <c r="H25" s="127"/>
      <c r="I25" s="127"/>
      <c r="J25" s="68"/>
      <c r="K25" s="180"/>
    </row>
    <row r="26" spans="1:11" s="132" customFormat="1" ht="12.75">
      <c r="A26" s="131">
        <v>9</v>
      </c>
      <c r="B26" s="134"/>
      <c r="C26" s="53"/>
      <c r="D26" s="127"/>
      <c r="E26" s="127"/>
      <c r="F26" s="65"/>
      <c r="G26" s="65"/>
      <c r="H26" s="127"/>
      <c r="I26" s="127"/>
      <c r="J26" s="127"/>
      <c r="K26" s="180"/>
    </row>
    <row r="27" spans="1:11" s="132" customFormat="1" ht="12.75">
      <c r="A27" s="131">
        <v>10</v>
      </c>
      <c r="B27" s="134"/>
      <c r="C27" s="53"/>
      <c r="D27" s="127"/>
      <c r="E27" s="127"/>
      <c r="F27" s="65"/>
      <c r="G27" s="65"/>
      <c r="H27" s="127"/>
      <c r="I27" s="127"/>
      <c r="J27" s="127"/>
      <c r="K27" s="180"/>
    </row>
    <row r="28" spans="1:11" s="132" customFormat="1" ht="12.75">
      <c r="A28" s="131">
        <v>11</v>
      </c>
      <c r="B28" s="134"/>
      <c r="C28" s="53"/>
      <c r="D28" s="127"/>
      <c r="E28" s="127"/>
      <c r="F28" s="65"/>
      <c r="G28" s="65"/>
      <c r="H28" s="127"/>
      <c r="I28" s="127"/>
      <c r="J28" s="127"/>
      <c r="K28" s="180"/>
    </row>
    <row r="29" spans="1:11" s="132" customFormat="1" ht="12.75">
      <c r="A29" s="131">
        <v>12</v>
      </c>
      <c r="B29" s="134"/>
      <c r="C29" s="53"/>
      <c r="D29" s="127"/>
      <c r="E29" s="127"/>
      <c r="F29" s="65"/>
      <c r="G29" s="65"/>
      <c r="H29" s="127"/>
      <c r="I29" s="127"/>
      <c r="J29" s="127"/>
      <c r="K29" s="180"/>
    </row>
    <row r="30" spans="1:11" s="132" customFormat="1" ht="12.75">
      <c r="A30" s="131">
        <v>13</v>
      </c>
      <c r="B30" s="134"/>
      <c r="C30" s="53"/>
      <c r="D30" s="127"/>
      <c r="E30" s="127"/>
      <c r="F30" s="65"/>
      <c r="G30" s="65"/>
      <c r="H30" s="127"/>
      <c r="I30" s="127"/>
      <c r="J30" s="127"/>
      <c r="K30" s="180"/>
    </row>
    <row r="31" spans="1:11" s="132" customFormat="1" ht="12.75">
      <c r="A31" s="131">
        <v>14</v>
      </c>
      <c r="B31" s="134"/>
      <c r="C31" s="53"/>
      <c r="D31" s="127"/>
      <c r="E31" s="127"/>
      <c r="F31" s="65"/>
      <c r="G31" s="65"/>
      <c r="H31" s="127"/>
      <c r="I31" s="127"/>
      <c r="J31" s="127"/>
      <c r="K31" s="180"/>
    </row>
    <row r="32" spans="1:11" s="132" customFormat="1" ht="12.75">
      <c r="A32" s="131">
        <v>15</v>
      </c>
      <c r="B32" s="125"/>
      <c r="C32" s="52"/>
      <c r="D32" s="68"/>
      <c r="E32" s="68"/>
      <c r="F32" s="66"/>
      <c r="G32" s="66"/>
      <c r="H32" s="68"/>
      <c r="I32" s="68"/>
      <c r="J32" s="68"/>
      <c r="K32" s="180"/>
    </row>
    <row r="33" spans="1:11" s="132" customFormat="1" ht="13.5" thickBot="1">
      <c r="A33" s="152">
        <v>16</v>
      </c>
      <c r="B33" s="183"/>
      <c r="C33" s="106"/>
      <c r="D33" s="119"/>
      <c r="E33" s="119"/>
      <c r="F33" s="109"/>
      <c r="G33" s="109"/>
      <c r="H33" s="119"/>
      <c r="I33" s="119"/>
      <c r="J33" s="119"/>
      <c r="K33" s="184"/>
    </row>
    <row r="34" spans="1:11" ht="13.5" thickBot="1">
      <c r="A34" s="79"/>
      <c r="B34" s="80"/>
      <c r="C34" s="44"/>
      <c r="D34" s="81"/>
      <c r="E34" s="21"/>
      <c r="F34" s="77"/>
      <c r="G34" s="37"/>
      <c r="H34" s="21"/>
      <c r="I34" s="21"/>
      <c r="J34" s="81"/>
      <c r="K34" s="48"/>
    </row>
    <row r="35" spans="1:11" s="14" customFormat="1" ht="13.5" customHeight="1">
      <c r="A35" s="264" t="s">
        <v>53</v>
      </c>
      <c r="B35" s="265"/>
      <c r="C35" s="265"/>
      <c r="D35" s="265"/>
      <c r="E35" s="265"/>
      <c r="F35" s="45">
        <f>SUM(F18:F33)</f>
        <v>25000</v>
      </c>
      <c r="G35" s="45">
        <f>SUM(G18:G33)</f>
        <v>53854.85</v>
      </c>
      <c r="H35" s="266"/>
      <c r="I35" s="267"/>
      <c r="J35" s="267"/>
      <c r="K35" s="94"/>
    </row>
    <row r="36" spans="1:11" s="14" customFormat="1" ht="13.5" customHeight="1">
      <c r="A36" s="112"/>
      <c r="B36" s="278" t="s">
        <v>24</v>
      </c>
      <c r="C36" s="279"/>
      <c r="D36" s="280"/>
      <c r="E36" s="281"/>
      <c r="F36" s="113"/>
      <c r="G36" s="113"/>
      <c r="H36" s="282"/>
      <c r="I36" s="283"/>
      <c r="J36" s="283"/>
      <c r="K36" s="54"/>
    </row>
    <row r="37" spans="1:11" s="14" customFormat="1" ht="13.5" customHeight="1">
      <c r="A37" s="112"/>
      <c r="B37" s="278"/>
      <c r="C37" s="284"/>
      <c r="D37" s="280"/>
      <c r="E37" s="281"/>
      <c r="F37" s="114"/>
      <c r="G37" s="114"/>
      <c r="H37" s="270"/>
      <c r="I37" s="279"/>
      <c r="J37" s="279"/>
      <c r="K37" s="55"/>
    </row>
    <row r="38" spans="1:11" s="14" customFormat="1" ht="13.5" customHeight="1">
      <c r="A38" s="115"/>
      <c r="B38" s="278" t="s">
        <v>4</v>
      </c>
      <c r="C38" s="293"/>
      <c r="D38" s="280"/>
      <c r="E38" s="281"/>
      <c r="F38" s="43">
        <v>0</v>
      </c>
      <c r="G38" s="43">
        <v>0</v>
      </c>
      <c r="H38" s="294"/>
      <c r="I38" s="295"/>
      <c r="J38" s="295"/>
      <c r="K38" s="57"/>
    </row>
    <row r="39" spans="1:11" s="14" customFormat="1" ht="13.5" customHeight="1">
      <c r="A39" s="115"/>
      <c r="B39" s="291" t="s">
        <v>3</v>
      </c>
      <c r="C39" s="291"/>
      <c r="D39" s="292"/>
      <c r="E39" s="292"/>
      <c r="F39" s="43">
        <f>F35-F37-F38</f>
        <v>25000</v>
      </c>
      <c r="G39" s="43">
        <f>G35-G37-G38</f>
        <v>53854.85</v>
      </c>
      <c r="H39" s="289"/>
      <c r="I39" s="290"/>
      <c r="J39" s="290"/>
      <c r="K39" s="36"/>
    </row>
    <row r="40" spans="1:11" s="14" customFormat="1" ht="13.5" customHeight="1" thickBot="1">
      <c r="A40" s="274" t="s">
        <v>121</v>
      </c>
      <c r="B40" s="275"/>
      <c r="C40" s="275"/>
      <c r="D40" s="275"/>
      <c r="E40" s="275"/>
      <c r="F40" s="47">
        <f>F16-F35</f>
        <v>9618.739999999998</v>
      </c>
      <c r="G40" s="47">
        <f>G16-G35</f>
        <v>-43443.89</v>
      </c>
      <c r="H40" s="276"/>
      <c r="I40" s="277"/>
      <c r="J40" s="277"/>
      <c r="K40" s="56"/>
    </row>
    <row r="41" spans="1:11" s="63" customFormat="1" ht="13.5" customHeight="1">
      <c r="A41" s="58"/>
      <c r="B41" s="58"/>
      <c r="C41" s="58"/>
      <c r="D41" s="58"/>
      <c r="E41" s="58"/>
      <c r="F41" s="59"/>
      <c r="G41" s="59"/>
      <c r="H41" s="61"/>
      <c r="I41" s="64"/>
      <c r="J41" s="64"/>
      <c r="K41" s="62"/>
    </row>
    <row r="42" spans="1:11" s="10" customFormat="1" ht="11.25">
      <c r="A42" s="21"/>
      <c r="B42" s="49"/>
      <c r="C42" s="21"/>
      <c r="D42" s="21"/>
      <c r="E42" s="21"/>
      <c r="F42" s="50"/>
      <c r="G42" s="37"/>
      <c r="H42" s="21"/>
      <c r="I42" s="21"/>
      <c r="J42" s="21"/>
      <c r="K42" s="23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  <row r="63" ht="12.75">
      <c r="K63" s="1"/>
    </row>
  </sheetData>
  <sheetProtection/>
  <mergeCells count="38"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  <mergeCell ref="A11:E11"/>
    <mergeCell ref="H11:J11"/>
    <mergeCell ref="A12:E12"/>
    <mergeCell ref="H12:J12"/>
    <mergeCell ref="I6:I7"/>
    <mergeCell ref="J6:J7"/>
    <mergeCell ref="G6:G7"/>
    <mergeCell ref="H6:H7"/>
    <mergeCell ref="A15:E15"/>
    <mergeCell ref="H15:J15"/>
    <mergeCell ref="A13:E13"/>
    <mergeCell ref="H13:J13"/>
    <mergeCell ref="A14:E14"/>
    <mergeCell ref="H14:J14"/>
    <mergeCell ref="B36:E36"/>
    <mergeCell ref="H36:J36"/>
    <mergeCell ref="B37:E37"/>
    <mergeCell ref="H37:J37"/>
    <mergeCell ref="A16:E16"/>
    <mergeCell ref="H16:J16"/>
    <mergeCell ref="A35:E35"/>
    <mergeCell ref="H35:J35"/>
    <mergeCell ref="A40:E40"/>
    <mergeCell ref="H40:J40"/>
    <mergeCell ref="B38:E38"/>
    <mergeCell ref="H38:J38"/>
    <mergeCell ref="B39:E39"/>
    <mergeCell ref="H39:J39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="150" zoomScaleNormal="150" zoomScalePageLayoutView="0" workbookViewId="0" topLeftCell="A6">
      <selection activeCell="H15" sqref="H15:J15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46.2812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7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201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138</v>
      </c>
      <c r="I2" s="10"/>
      <c r="J2" s="10"/>
      <c r="K2" s="10"/>
    </row>
    <row r="3" spans="1:12" ht="12.75" customHeight="1">
      <c r="A3" s="253" t="s">
        <v>117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39"/>
    </row>
    <row r="4" spans="1:11" ht="12.75" customHeight="1">
      <c r="A4" s="253" t="s">
        <v>200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55" t="s">
        <v>9</v>
      </c>
      <c r="B6" s="257" t="s">
        <v>0</v>
      </c>
      <c r="C6" s="257" t="s">
        <v>1</v>
      </c>
      <c r="D6" s="257" t="s">
        <v>10</v>
      </c>
      <c r="E6" s="257" t="s">
        <v>11</v>
      </c>
      <c r="F6" s="257" t="s">
        <v>12</v>
      </c>
      <c r="G6" s="309" t="s">
        <v>13</v>
      </c>
      <c r="H6" s="257" t="s">
        <v>14</v>
      </c>
      <c r="I6" s="257" t="s">
        <v>15</v>
      </c>
      <c r="J6" s="257" t="s">
        <v>16</v>
      </c>
      <c r="K6" s="259" t="s">
        <v>2</v>
      </c>
    </row>
    <row r="7" spans="1:11" ht="13.5" thickBot="1">
      <c r="A7" s="256"/>
      <c r="B7" s="258"/>
      <c r="C7" s="258"/>
      <c r="D7" s="258"/>
      <c r="E7" s="258"/>
      <c r="F7" s="258"/>
      <c r="G7" s="310"/>
      <c r="H7" s="258"/>
      <c r="I7" s="258"/>
      <c r="J7" s="258"/>
      <c r="K7" s="260"/>
    </row>
    <row r="8" spans="1:11" ht="13.5" thickBot="1">
      <c r="A8" s="38"/>
      <c r="B8" s="38"/>
      <c r="C8" s="38"/>
      <c r="D8" s="38"/>
      <c r="E8" s="38"/>
      <c r="F8" s="38"/>
      <c r="G8" s="211"/>
      <c r="H8" s="38"/>
      <c r="I8" s="38"/>
      <c r="J8" s="38"/>
      <c r="K8" s="38"/>
    </row>
    <row r="9" spans="1:11" ht="21" customHeight="1" thickBot="1">
      <c r="A9" s="261" t="s">
        <v>57</v>
      </c>
      <c r="B9" s="262"/>
      <c r="C9" s="262"/>
      <c r="D9" s="262"/>
      <c r="E9" s="262"/>
      <c r="F9" s="262"/>
      <c r="G9" s="262"/>
      <c r="H9" s="262"/>
      <c r="I9" s="262"/>
      <c r="J9" s="262"/>
      <c r="K9" s="263"/>
    </row>
    <row r="10" spans="1:11" s="14" customFormat="1" ht="12.75" customHeight="1" thickBot="1">
      <c r="A10" s="15"/>
      <c r="B10" s="16"/>
      <c r="C10" s="16" t="s">
        <v>61</v>
      </c>
      <c r="D10" s="17">
        <f>'N01'!D10+'N02'!D10+'N03'!D10+'N04'!D10+'N07'!D10+'N08'!D10+'N09'!D10+'N18'!D10</f>
        <v>90282.22</v>
      </c>
      <c r="E10" s="18" t="s">
        <v>6</v>
      </c>
      <c r="F10" s="19"/>
      <c r="G10" s="212"/>
      <c r="H10" s="11"/>
      <c r="I10" s="12"/>
      <c r="J10" s="13"/>
      <c r="K10" s="20"/>
    </row>
    <row r="11" spans="1:11" s="14" customFormat="1" ht="13.5" customHeight="1">
      <c r="A11" s="264" t="s">
        <v>118</v>
      </c>
      <c r="B11" s="265"/>
      <c r="C11" s="265"/>
      <c r="D11" s="265"/>
      <c r="E11" s="265"/>
      <c r="F11" s="45">
        <v>1981.57</v>
      </c>
      <c r="G11" s="45">
        <v>20522.82</v>
      </c>
      <c r="H11" s="266"/>
      <c r="I11" s="267"/>
      <c r="J11" s="267"/>
      <c r="K11" s="94"/>
    </row>
    <row r="12" spans="1:11" s="14" customFormat="1" ht="13.5" customHeight="1">
      <c r="A12" s="268" t="s">
        <v>51</v>
      </c>
      <c r="B12" s="269"/>
      <c r="C12" s="269"/>
      <c r="D12" s="269"/>
      <c r="E12" s="269"/>
      <c r="F12" s="42">
        <f>D10*I10*12</f>
        <v>0</v>
      </c>
      <c r="G12" s="42">
        <v>0</v>
      </c>
      <c r="H12" s="270"/>
      <c r="I12" s="271"/>
      <c r="J12" s="271"/>
      <c r="K12" s="55"/>
    </row>
    <row r="13" spans="1:11" s="41" customFormat="1" ht="12.75" customHeight="1">
      <c r="A13" s="272" t="s">
        <v>62</v>
      </c>
      <c r="B13" s="273"/>
      <c r="C13" s="273"/>
      <c r="D13" s="273"/>
      <c r="E13" s="273"/>
      <c r="F13" s="42">
        <v>50890.2</v>
      </c>
      <c r="G13" s="42">
        <f>52662.39+11714.21</f>
        <v>64376.6</v>
      </c>
      <c r="H13" s="270"/>
      <c r="I13" s="271"/>
      <c r="J13" s="271"/>
      <c r="K13" s="55"/>
    </row>
    <row r="14" spans="1:11" s="41" customFormat="1" ht="12.75" customHeight="1">
      <c r="A14" s="272" t="s">
        <v>55</v>
      </c>
      <c r="B14" s="273"/>
      <c r="C14" s="273"/>
      <c r="D14" s="273"/>
      <c r="E14" s="273"/>
      <c r="F14" s="118">
        <v>0</v>
      </c>
      <c r="G14" s="118">
        <f>80.87+1258500</f>
        <v>1258580.87</v>
      </c>
      <c r="H14" s="306" t="s">
        <v>230</v>
      </c>
      <c r="I14" s="307"/>
      <c r="J14" s="307"/>
      <c r="K14" s="308"/>
    </row>
    <row r="15" spans="1:11" s="14" customFormat="1" ht="13.5" customHeight="1">
      <c r="A15" s="268" t="s">
        <v>108</v>
      </c>
      <c r="B15" s="269"/>
      <c r="C15" s="269"/>
      <c r="D15" s="269"/>
      <c r="E15" s="269"/>
      <c r="F15" s="42">
        <v>0</v>
      </c>
      <c r="G15" s="42">
        <v>0</v>
      </c>
      <c r="H15" s="270"/>
      <c r="I15" s="271"/>
      <c r="J15" s="271"/>
      <c r="K15" s="55"/>
    </row>
    <row r="16" spans="1:11" s="40" customFormat="1" ht="12.75" customHeight="1" thickBot="1">
      <c r="A16" s="287" t="s">
        <v>105</v>
      </c>
      <c r="B16" s="288"/>
      <c r="C16" s="288"/>
      <c r="D16" s="288"/>
      <c r="E16" s="288"/>
      <c r="F16" s="46">
        <f>F11+F12+F13+F14+F15</f>
        <v>52871.77</v>
      </c>
      <c r="G16" s="46">
        <f>G11+G12+G13+G14+G15</f>
        <v>1343480.29</v>
      </c>
      <c r="H16" s="276"/>
      <c r="I16" s="277"/>
      <c r="J16" s="277"/>
      <c r="K16" s="56"/>
    </row>
    <row r="17" spans="1:11" s="86" customFormat="1" ht="13.5" customHeight="1" thickBot="1">
      <c r="A17" s="58"/>
      <c r="B17" s="58"/>
      <c r="C17" s="58"/>
      <c r="D17" s="58"/>
      <c r="E17" s="58"/>
      <c r="F17" s="59"/>
      <c r="G17" s="59"/>
      <c r="H17" s="61"/>
      <c r="I17" s="64"/>
      <c r="J17" s="64"/>
      <c r="K17" s="62"/>
    </row>
    <row r="18" spans="1:11" ht="12.75">
      <c r="A18" s="148">
        <v>1</v>
      </c>
      <c r="B18" s="70" t="s">
        <v>124</v>
      </c>
      <c r="C18" s="70" t="s">
        <v>45</v>
      </c>
      <c r="D18" s="71"/>
      <c r="E18" s="70"/>
      <c r="F18" s="72">
        <v>30000</v>
      </c>
      <c r="G18" s="72"/>
      <c r="H18" s="70"/>
      <c r="I18" s="70"/>
      <c r="J18" s="140"/>
      <c r="K18" s="141"/>
    </row>
    <row r="19" spans="1:11" ht="12.75">
      <c r="A19" s="209">
        <v>2</v>
      </c>
      <c r="B19" s="173" t="s">
        <v>171</v>
      </c>
      <c r="C19" s="160" t="s">
        <v>170</v>
      </c>
      <c r="D19" s="170"/>
      <c r="E19" s="173"/>
      <c r="F19" s="169"/>
      <c r="G19" s="218">
        <v>1787.26</v>
      </c>
      <c r="H19" s="173"/>
      <c r="I19" s="173" t="s">
        <v>4</v>
      </c>
      <c r="J19" s="302"/>
      <c r="K19" s="303"/>
    </row>
    <row r="20" spans="1:11" ht="12.75">
      <c r="A20" s="209">
        <v>3</v>
      </c>
      <c r="B20" s="173" t="s">
        <v>225</v>
      </c>
      <c r="C20" s="173" t="s">
        <v>226</v>
      </c>
      <c r="D20" s="170"/>
      <c r="E20" s="173"/>
      <c r="F20" s="169"/>
      <c r="G20" s="218">
        <v>3892.23</v>
      </c>
      <c r="H20" s="173"/>
      <c r="I20" s="173" t="s">
        <v>4</v>
      </c>
      <c r="J20" s="116"/>
      <c r="K20" s="117"/>
    </row>
    <row r="21" spans="1:11" ht="12.75">
      <c r="A21" s="209">
        <v>4</v>
      </c>
      <c r="B21" s="173" t="s">
        <v>225</v>
      </c>
      <c r="C21" s="173" t="s">
        <v>227</v>
      </c>
      <c r="D21" s="170"/>
      <c r="E21" s="173"/>
      <c r="F21" s="169"/>
      <c r="G21" s="218">
        <v>16470</v>
      </c>
      <c r="H21" s="173"/>
      <c r="I21" s="173" t="s">
        <v>3</v>
      </c>
      <c r="J21" s="116"/>
      <c r="K21" s="117"/>
    </row>
    <row r="22" spans="1:11" ht="12.75">
      <c r="A22" s="209">
        <v>5</v>
      </c>
      <c r="B22" s="173"/>
      <c r="C22" s="173"/>
      <c r="D22" s="170"/>
      <c r="E22" s="173"/>
      <c r="F22" s="169"/>
      <c r="G22" s="169"/>
      <c r="H22" s="173"/>
      <c r="I22" s="173"/>
      <c r="J22" s="116"/>
      <c r="K22" s="117"/>
    </row>
    <row r="23" spans="1:11" ht="12.75">
      <c r="A23" s="209">
        <v>6</v>
      </c>
      <c r="B23" s="52"/>
      <c r="C23" s="52"/>
      <c r="D23" s="68"/>
      <c r="E23" s="52"/>
      <c r="F23" s="66"/>
      <c r="G23" s="66"/>
      <c r="H23" s="52"/>
      <c r="I23" s="52"/>
      <c r="J23" s="302"/>
      <c r="K23" s="303"/>
    </row>
    <row r="24" spans="1:11" ht="12.75">
      <c r="A24" s="209">
        <v>7</v>
      </c>
      <c r="B24" s="52"/>
      <c r="C24" s="52"/>
      <c r="D24" s="68"/>
      <c r="E24" s="52"/>
      <c r="F24" s="66"/>
      <c r="G24" s="66"/>
      <c r="H24" s="52"/>
      <c r="I24" s="52"/>
      <c r="J24" s="302"/>
      <c r="K24" s="303"/>
    </row>
    <row r="25" spans="1:11" ht="12.75">
      <c r="A25" s="209">
        <v>8</v>
      </c>
      <c r="B25" s="52"/>
      <c r="C25" s="52"/>
      <c r="D25" s="68"/>
      <c r="E25" s="52"/>
      <c r="F25" s="66"/>
      <c r="G25" s="66"/>
      <c r="H25" s="52"/>
      <c r="I25" s="52"/>
      <c r="J25" s="116"/>
      <c r="K25" s="117"/>
    </row>
    <row r="26" spans="1:11" ht="12.75">
      <c r="A26" s="209">
        <v>9</v>
      </c>
      <c r="B26" s="52"/>
      <c r="C26" s="52"/>
      <c r="D26" s="68"/>
      <c r="E26" s="52"/>
      <c r="F26" s="66"/>
      <c r="G26" s="66"/>
      <c r="H26" s="52"/>
      <c r="I26" s="52"/>
      <c r="J26" s="116"/>
      <c r="K26" s="117"/>
    </row>
    <row r="27" spans="1:11" ht="12.75">
      <c r="A27" s="209">
        <v>10</v>
      </c>
      <c r="B27" s="52"/>
      <c r="C27" s="52"/>
      <c r="D27" s="68"/>
      <c r="E27" s="52"/>
      <c r="F27" s="66"/>
      <c r="G27" s="66"/>
      <c r="H27" s="52"/>
      <c r="I27" s="52"/>
      <c r="J27" s="116"/>
      <c r="K27" s="117"/>
    </row>
    <row r="28" spans="1:11" ht="12.75">
      <c r="A28" s="209">
        <v>11</v>
      </c>
      <c r="B28" s="52"/>
      <c r="C28" s="52"/>
      <c r="D28" s="68"/>
      <c r="E28" s="52"/>
      <c r="F28" s="66"/>
      <c r="G28" s="66"/>
      <c r="H28" s="52"/>
      <c r="I28" s="52"/>
      <c r="J28" s="116"/>
      <c r="K28" s="117"/>
    </row>
    <row r="29" spans="1:11" ht="12.75">
      <c r="A29" s="209">
        <v>12</v>
      </c>
      <c r="B29" s="52"/>
      <c r="C29" s="52"/>
      <c r="D29" s="68"/>
      <c r="E29" s="52"/>
      <c r="F29" s="66"/>
      <c r="G29" s="66"/>
      <c r="H29" s="52"/>
      <c r="I29" s="52"/>
      <c r="J29" s="116"/>
      <c r="K29" s="117"/>
    </row>
    <row r="30" spans="1:11" ht="12.75">
      <c r="A30" s="209">
        <v>13</v>
      </c>
      <c r="B30" s="52"/>
      <c r="C30" s="52"/>
      <c r="D30" s="68"/>
      <c r="E30" s="52"/>
      <c r="F30" s="66"/>
      <c r="G30" s="66"/>
      <c r="H30" s="52"/>
      <c r="I30" s="52"/>
      <c r="J30" s="116"/>
      <c r="K30" s="117"/>
    </row>
    <row r="31" spans="1:11" ht="12.75">
      <c r="A31" s="209">
        <v>14</v>
      </c>
      <c r="B31" s="52"/>
      <c r="C31" s="52"/>
      <c r="D31" s="68"/>
      <c r="E31" s="52"/>
      <c r="F31" s="66"/>
      <c r="G31" s="66"/>
      <c r="H31" s="52"/>
      <c r="I31" s="52"/>
      <c r="J31" s="116"/>
      <c r="K31" s="117"/>
    </row>
    <row r="32" spans="1:11" ht="12.75">
      <c r="A32" s="209">
        <v>15</v>
      </c>
      <c r="B32" s="52"/>
      <c r="C32" s="52"/>
      <c r="D32" s="68"/>
      <c r="E32" s="52"/>
      <c r="F32" s="66"/>
      <c r="G32" s="66"/>
      <c r="H32" s="52"/>
      <c r="I32" s="52"/>
      <c r="J32" s="285"/>
      <c r="K32" s="286"/>
    </row>
    <row r="33" spans="1:11" ht="13.5" thickBot="1">
      <c r="A33" s="210">
        <v>16</v>
      </c>
      <c r="B33" s="106"/>
      <c r="C33" s="106"/>
      <c r="D33" s="119"/>
      <c r="E33" s="106"/>
      <c r="F33" s="109"/>
      <c r="G33" s="109"/>
      <c r="H33" s="106"/>
      <c r="I33" s="106"/>
      <c r="J33" s="304"/>
      <c r="K33" s="305"/>
    </row>
    <row r="34" spans="1:11" ht="13.5" thickBot="1">
      <c r="A34" s="79"/>
      <c r="B34" s="80"/>
      <c r="C34" s="44"/>
      <c r="D34" s="81"/>
      <c r="E34" s="21"/>
      <c r="F34" s="77"/>
      <c r="G34" s="37"/>
      <c r="H34" s="21"/>
      <c r="I34" s="21"/>
      <c r="J34" s="81"/>
      <c r="K34" s="48"/>
    </row>
    <row r="35" spans="1:11" s="14" customFormat="1" ht="13.5" customHeight="1">
      <c r="A35" s="264" t="s">
        <v>53</v>
      </c>
      <c r="B35" s="265"/>
      <c r="C35" s="265"/>
      <c r="D35" s="265"/>
      <c r="E35" s="265"/>
      <c r="F35" s="45">
        <f>SUM(F18:F33)</f>
        <v>30000</v>
      </c>
      <c r="G35" s="45">
        <f>SUM(G18:G33)</f>
        <v>22149.489999999998</v>
      </c>
      <c r="H35" s="266"/>
      <c r="I35" s="267"/>
      <c r="J35" s="267"/>
      <c r="K35" s="94"/>
    </row>
    <row r="36" spans="1:11" s="14" customFormat="1" ht="13.5" customHeight="1">
      <c r="A36" s="112"/>
      <c r="B36" s="278" t="s">
        <v>24</v>
      </c>
      <c r="C36" s="279"/>
      <c r="D36" s="280"/>
      <c r="E36" s="281"/>
      <c r="F36" s="113"/>
      <c r="G36" s="113"/>
      <c r="H36" s="282"/>
      <c r="I36" s="283"/>
      <c r="J36" s="283"/>
      <c r="K36" s="54"/>
    </row>
    <row r="37" spans="1:11" s="14" customFormat="1" ht="13.5" customHeight="1">
      <c r="A37" s="112"/>
      <c r="B37" s="278"/>
      <c r="C37" s="284"/>
      <c r="D37" s="280"/>
      <c r="E37" s="281"/>
      <c r="F37" s="114"/>
      <c r="G37" s="114"/>
      <c r="H37" s="270"/>
      <c r="I37" s="279"/>
      <c r="J37" s="279"/>
      <c r="K37" s="55"/>
    </row>
    <row r="38" spans="1:11" s="14" customFormat="1" ht="13.5" customHeight="1">
      <c r="A38" s="115"/>
      <c r="B38" s="278" t="s">
        <v>4</v>
      </c>
      <c r="C38" s="293"/>
      <c r="D38" s="280"/>
      <c r="E38" s="281"/>
      <c r="F38" s="43">
        <f>F19+F20</f>
        <v>0</v>
      </c>
      <c r="G38" s="43">
        <f>G19+G20</f>
        <v>5679.49</v>
      </c>
      <c r="H38" s="294"/>
      <c r="I38" s="295"/>
      <c r="J38" s="295"/>
      <c r="K38" s="57"/>
    </row>
    <row r="39" spans="1:11" s="14" customFormat="1" ht="13.5" customHeight="1">
      <c r="A39" s="115"/>
      <c r="B39" s="291" t="s">
        <v>3</v>
      </c>
      <c r="C39" s="291"/>
      <c r="D39" s="292"/>
      <c r="E39" s="292"/>
      <c r="F39" s="43">
        <f>F35-F37-F38</f>
        <v>30000</v>
      </c>
      <c r="G39" s="43">
        <f>G35-G37-G38</f>
        <v>16470</v>
      </c>
      <c r="H39" s="289"/>
      <c r="I39" s="290"/>
      <c r="J39" s="290"/>
      <c r="K39" s="36"/>
    </row>
    <row r="40" spans="1:11" s="14" customFormat="1" ht="13.5" customHeight="1" thickBot="1">
      <c r="A40" s="274" t="s">
        <v>121</v>
      </c>
      <c r="B40" s="275"/>
      <c r="C40" s="275"/>
      <c r="D40" s="275"/>
      <c r="E40" s="275"/>
      <c r="F40" s="47">
        <f>F16-F35</f>
        <v>22871.769999999997</v>
      </c>
      <c r="G40" s="47">
        <f>G16-G35</f>
        <v>1321330.8</v>
      </c>
      <c r="H40" s="276"/>
      <c r="I40" s="277"/>
      <c r="J40" s="277"/>
      <c r="K40" s="56"/>
    </row>
    <row r="41" ht="12.75">
      <c r="K41" s="1"/>
    </row>
    <row r="42" ht="12.75">
      <c r="K42" s="1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</sheetData>
  <sheetProtection/>
  <mergeCells count="43"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  <mergeCell ref="A11:E11"/>
    <mergeCell ref="H11:J11"/>
    <mergeCell ref="A12:E12"/>
    <mergeCell ref="H12:J12"/>
    <mergeCell ref="I6:I7"/>
    <mergeCell ref="J6:J7"/>
    <mergeCell ref="G6:G7"/>
    <mergeCell ref="H6:H7"/>
    <mergeCell ref="A15:E15"/>
    <mergeCell ref="H15:J15"/>
    <mergeCell ref="A13:E13"/>
    <mergeCell ref="H13:J13"/>
    <mergeCell ref="A14:E14"/>
    <mergeCell ref="H14:K14"/>
    <mergeCell ref="A16:E16"/>
    <mergeCell ref="H16:J16"/>
    <mergeCell ref="H39:J39"/>
    <mergeCell ref="A40:E40"/>
    <mergeCell ref="H40:J40"/>
    <mergeCell ref="A35:E35"/>
    <mergeCell ref="H35:J35"/>
    <mergeCell ref="B36:E36"/>
    <mergeCell ref="H36:J36"/>
    <mergeCell ref="B37:E37"/>
    <mergeCell ref="J19:K19"/>
    <mergeCell ref="J24:K24"/>
    <mergeCell ref="J23:K23"/>
    <mergeCell ref="H37:J37"/>
    <mergeCell ref="B39:E39"/>
    <mergeCell ref="J32:K32"/>
    <mergeCell ref="J33:K33"/>
    <mergeCell ref="B38:E38"/>
    <mergeCell ref="H38:J38"/>
  </mergeCells>
  <printOptions horizontalCentered="1"/>
  <pageMargins left="0" right="0" top="0" bottom="0" header="0" footer="0"/>
  <pageSetup horizontalDpi="600" verticalDpi="600" orientation="landscape" paperSize="9" r:id="rId1"/>
  <headerFooter alignWithMargins="0">
    <oddFooter>&amp;CStrona &amp;P z &amp;N</oddFooter>
  </headerFooter>
  <colBreaks count="1" manualBreakCount="1">
    <brk id="11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L63"/>
  <sheetViews>
    <sheetView zoomScale="150" zoomScaleNormal="150" zoomScalePageLayoutView="0" workbookViewId="0" topLeftCell="A5">
      <selection activeCell="N18" sqref="N18:N20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7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201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138</v>
      </c>
      <c r="I2" s="10"/>
      <c r="J2" s="10"/>
      <c r="K2" s="10"/>
    </row>
    <row r="3" spans="1:12" ht="12.75" customHeight="1">
      <c r="A3" s="253" t="s">
        <v>117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39"/>
    </row>
    <row r="4" spans="1:11" ht="12.75" customHeight="1">
      <c r="A4" s="253" t="s">
        <v>200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55" t="s">
        <v>9</v>
      </c>
      <c r="B6" s="257" t="s">
        <v>0</v>
      </c>
      <c r="C6" s="257" t="s">
        <v>1</v>
      </c>
      <c r="D6" s="257" t="s">
        <v>10</v>
      </c>
      <c r="E6" s="257" t="s">
        <v>11</v>
      </c>
      <c r="F6" s="257" t="s">
        <v>12</v>
      </c>
      <c r="G6" s="311" t="s">
        <v>13</v>
      </c>
      <c r="H6" s="257" t="s">
        <v>14</v>
      </c>
      <c r="I6" s="257" t="s">
        <v>15</v>
      </c>
      <c r="J6" s="257" t="s">
        <v>16</v>
      </c>
      <c r="K6" s="259" t="s">
        <v>2</v>
      </c>
    </row>
    <row r="7" spans="1:11" ht="13.5" thickBot="1">
      <c r="A7" s="256"/>
      <c r="B7" s="258"/>
      <c r="C7" s="258"/>
      <c r="D7" s="258"/>
      <c r="E7" s="258"/>
      <c r="F7" s="258"/>
      <c r="G7" s="312"/>
      <c r="H7" s="258"/>
      <c r="I7" s="258"/>
      <c r="J7" s="258"/>
      <c r="K7" s="260"/>
    </row>
    <row r="8" spans="1:11" ht="13.5" thickBot="1">
      <c r="A8" s="38"/>
      <c r="B8" s="38"/>
      <c r="C8" s="38"/>
      <c r="D8" s="38"/>
      <c r="E8" s="38"/>
      <c r="F8" s="38"/>
      <c r="G8" s="138"/>
      <c r="H8" s="38"/>
      <c r="I8" s="38"/>
      <c r="J8" s="38"/>
      <c r="K8" s="38"/>
    </row>
    <row r="9" spans="1:11" ht="21" customHeight="1" thickBot="1">
      <c r="A9" s="261" t="s">
        <v>76</v>
      </c>
      <c r="B9" s="262"/>
      <c r="C9" s="262"/>
      <c r="D9" s="262"/>
      <c r="E9" s="262"/>
      <c r="F9" s="262"/>
      <c r="G9" s="262"/>
      <c r="H9" s="262"/>
      <c r="I9" s="262"/>
      <c r="J9" s="262"/>
      <c r="K9" s="263"/>
    </row>
    <row r="10" spans="1:11" s="14" customFormat="1" ht="12.75" customHeight="1">
      <c r="A10" s="15"/>
      <c r="B10" s="16"/>
      <c r="C10" s="16" t="s">
        <v>31</v>
      </c>
      <c r="D10" s="17">
        <v>175</v>
      </c>
      <c r="E10" s="18" t="s">
        <v>35</v>
      </c>
      <c r="F10" s="19"/>
      <c r="G10" s="139"/>
      <c r="H10" s="11" t="s">
        <v>8</v>
      </c>
      <c r="I10" s="135">
        <f>F12/D10/12</f>
        <v>3.5085714285714285</v>
      </c>
      <c r="J10" s="13" t="s">
        <v>36</v>
      </c>
      <c r="K10" s="20"/>
    </row>
    <row r="11" spans="1:11" s="14" customFormat="1" ht="13.5" customHeight="1">
      <c r="A11" s="272" t="s">
        <v>118</v>
      </c>
      <c r="B11" s="273"/>
      <c r="C11" s="273"/>
      <c r="D11" s="273"/>
      <c r="E11" s="273"/>
      <c r="F11" s="42">
        <v>1403</v>
      </c>
      <c r="G11" s="42">
        <v>9482.95</v>
      </c>
      <c r="H11" s="270"/>
      <c r="I11" s="271"/>
      <c r="J11" s="271"/>
      <c r="K11" s="55"/>
    </row>
    <row r="12" spans="1:11" s="14" customFormat="1" ht="13.5" customHeight="1">
      <c r="A12" s="268" t="s">
        <v>34</v>
      </c>
      <c r="B12" s="269"/>
      <c r="C12" s="269"/>
      <c r="D12" s="269"/>
      <c r="E12" s="269"/>
      <c r="F12" s="42">
        <v>7368</v>
      </c>
      <c r="G12" s="42">
        <v>15000</v>
      </c>
      <c r="H12" s="270"/>
      <c r="I12" s="271"/>
      <c r="J12" s="271"/>
      <c r="K12" s="55"/>
    </row>
    <row r="13" spans="1:11" s="14" customFormat="1" ht="13.5" customHeight="1">
      <c r="A13" s="268" t="s">
        <v>50</v>
      </c>
      <c r="B13" s="269"/>
      <c r="C13" s="269"/>
      <c r="D13" s="269"/>
      <c r="E13" s="269"/>
      <c r="F13" s="42">
        <f>-(D10*12*0)</f>
        <v>0</v>
      </c>
      <c r="G13" s="42">
        <v>0</v>
      </c>
      <c r="H13" s="270"/>
      <c r="I13" s="271"/>
      <c r="J13" s="271"/>
      <c r="K13" s="55"/>
    </row>
    <row r="14" spans="1:11" s="41" customFormat="1" ht="12.75" customHeight="1">
      <c r="A14" s="272" t="s">
        <v>99</v>
      </c>
      <c r="B14" s="273"/>
      <c r="C14" s="273"/>
      <c r="D14" s="273"/>
      <c r="E14" s="273"/>
      <c r="F14" s="42">
        <v>7632</v>
      </c>
      <c r="G14" s="42">
        <v>7664</v>
      </c>
      <c r="H14" s="270"/>
      <c r="I14" s="271"/>
      <c r="J14" s="271"/>
      <c r="K14" s="55"/>
    </row>
    <row r="15" spans="1:11" s="14" customFormat="1" ht="13.5" customHeight="1">
      <c r="A15" s="268" t="s">
        <v>104</v>
      </c>
      <c r="B15" s="269"/>
      <c r="C15" s="269"/>
      <c r="D15" s="269"/>
      <c r="E15" s="269"/>
      <c r="F15" s="42">
        <v>0</v>
      </c>
      <c r="G15" s="42">
        <v>0</v>
      </c>
      <c r="H15" s="270"/>
      <c r="I15" s="271"/>
      <c r="J15" s="271"/>
      <c r="K15" s="55"/>
    </row>
    <row r="16" spans="1:11" s="40" customFormat="1" ht="12.75" customHeight="1" thickBot="1">
      <c r="A16" s="287" t="s">
        <v>107</v>
      </c>
      <c r="B16" s="288"/>
      <c r="C16" s="288"/>
      <c r="D16" s="288"/>
      <c r="E16" s="288"/>
      <c r="F16" s="46">
        <f>F11+F12+F13+F14+F15</f>
        <v>16403</v>
      </c>
      <c r="G16" s="46">
        <f>G11+G12+G13+G14+G15</f>
        <v>32146.95</v>
      </c>
      <c r="H16" s="276"/>
      <c r="I16" s="277"/>
      <c r="J16" s="277"/>
      <c r="K16" s="56"/>
    </row>
    <row r="17" spans="1:11" s="86" customFormat="1" ht="13.5" customHeight="1" thickBot="1">
      <c r="A17" s="58"/>
      <c r="B17" s="58"/>
      <c r="C17" s="58"/>
      <c r="D17" s="58"/>
      <c r="E17" s="58"/>
      <c r="F17" s="59"/>
      <c r="G17" s="59"/>
      <c r="H17" s="61"/>
      <c r="I17" s="64"/>
      <c r="J17" s="64"/>
      <c r="K17" s="62"/>
    </row>
    <row r="18" spans="1:11" ht="14.25" customHeight="1">
      <c r="A18" s="87">
        <v>1</v>
      </c>
      <c r="B18" s="99" t="s">
        <v>25</v>
      </c>
      <c r="C18" s="99" t="s">
        <v>21</v>
      </c>
      <c r="D18" s="89"/>
      <c r="E18" s="90"/>
      <c r="F18" s="101">
        <v>10000</v>
      </c>
      <c r="G18" s="91"/>
      <c r="H18" s="89">
        <v>2013</v>
      </c>
      <c r="I18" s="90"/>
      <c r="J18" s="102" t="s">
        <v>3</v>
      </c>
      <c r="K18" s="103"/>
    </row>
    <row r="19" spans="1:11" ht="14.25" customHeight="1">
      <c r="A19" s="29">
        <v>2</v>
      </c>
      <c r="B19" s="154"/>
      <c r="C19" s="154" t="s">
        <v>146</v>
      </c>
      <c r="D19" s="155"/>
      <c r="E19" s="95"/>
      <c r="F19" s="156"/>
      <c r="G19" s="221">
        <v>1148.2</v>
      </c>
      <c r="H19" s="158"/>
      <c r="I19" s="95"/>
      <c r="J19" s="155" t="s">
        <v>3</v>
      </c>
      <c r="K19" s="159"/>
    </row>
    <row r="20" spans="1:11" ht="12.75">
      <c r="A20" s="30">
        <v>3</v>
      </c>
      <c r="B20" s="160"/>
      <c r="C20" s="160" t="s">
        <v>147</v>
      </c>
      <c r="D20" s="158"/>
      <c r="E20" s="158"/>
      <c r="F20" s="156"/>
      <c r="G20" s="208">
        <v>718.35</v>
      </c>
      <c r="H20" s="158"/>
      <c r="I20" s="158"/>
      <c r="J20" s="155" t="s">
        <v>3</v>
      </c>
      <c r="K20" s="162"/>
    </row>
    <row r="21" spans="1:11" ht="12.75">
      <c r="A21" s="30">
        <v>4</v>
      </c>
      <c r="B21" s="31"/>
      <c r="C21" s="160" t="s">
        <v>194</v>
      </c>
      <c r="D21" s="158"/>
      <c r="E21" s="158"/>
      <c r="F21" s="161"/>
      <c r="G21" s="208">
        <v>2041.42</v>
      </c>
      <c r="H21" s="158"/>
      <c r="I21" s="158"/>
      <c r="J21" s="158" t="s">
        <v>3</v>
      </c>
      <c r="K21" s="33"/>
    </row>
    <row r="22" spans="1:11" ht="12.75">
      <c r="A22" s="30">
        <v>5</v>
      </c>
      <c r="B22" s="31"/>
      <c r="C22" s="31"/>
      <c r="D22" s="4"/>
      <c r="E22" s="4"/>
      <c r="F22" s="32"/>
      <c r="G22" s="32"/>
      <c r="H22" s="4"/>
      <c r="I22" s="4"/>
      <c r="J22" s="4"/>
      <c r="K22" s="33"/>
    </row>
    <row r="23" spans="1:11" ht="12.75">
      <c r="A23" s="30">
        <v>6</v>
      </c>
      <c r="B23" s="31"/>
      <c r="C23" s="31"/>
      <c r="D23" s="4"/>
      <c r="E23" s="4"/>
      <c r="F23" s="32"/>
      <c r="G23" s="32"/>
      <c r="H23" s="4"/>
      <c r="I23" s="4"/>
      <c r="J23" s="35"/>
      <c r="K23" s="33"/>
    </row>
    <row r="24" spans="1:11" ht="12.75">
      <c r="A24" s="29">
        <v>7</v>
      </c>
      <c r="B24" s="28"/>
      <c r="C24" s="52"/>
      <c r="D24" s="26"/>
      <c r="E24" s="2"/>
      <c r="F24" s="66"/>
      <c r="G24" s="3"/>
      <c r="H24" s="2"/>
      <c r="I24" s="2"/>
      <c r="J24" s="26"/>
      <c r="K24" s="25"/>
    </row>
    <row r="25" spans="1:11" ht="12.75">
      <c r="A25" s="29">
        <v>8</v>
      </c>
      <c r="B25" s="51"/>
      <c r="C25" s="53"/>
      <c r="D25" s="35"/>
      <c r="E25" s="4"/>
      <c r="F25" s="65"/>
      <c r="G25" s="32"/>
      <c r="H25" s="4"/>
      <c r="I25" s="4"/>
      <c r="J25" s="26"/>
      <c r="K25" s="25"/>
    </row>
    <row r="26" spans="1:11" ht="12.75">
      <c r="A26" s="29">
        <v>9</v>
      </c>
      <c r="B26" s="51"/>
      <c r="C26" s="53"/>
      <c r="D26" s="35"/>
      <c r="E26" s="4"/>
      <c r="F26" s="65"/>
      <c r="G26" s="32"/>
      <c r="H26" s="4"/>
      <c r="I26" s="4"/>
      <c r="J26" s="35"/>
      <c r="K26" s="25"/>
    </row>
    <row r="27" spans="1:11" ht="12.75">
      <c r="A27" s="29">
        <v>10</v>
      </c>
      <c r="B27" s="51"/>
      <c r="C27" s="53"/>
      <c r="D27" s="35"/>
      <c r="E27" s="4"/>
      <c r="F27" s="65"/>
      <c r="G27" s="32"/>
      <c r="H27" s="4"/>
      <c r="I27" s="4"/>
      <c r="J27" s="35"/>
      <c r="K27" s="25"/>
    </row>
    <row r="28" spans="1:11" ht="12.75">
      <c r="A28" s="29">
        <v>11</v>
      </c>
      <c r="B28" s="51"/>
      <c r="C28" s="53"/>
      <c r="D28" s="35"/>
      <c r="E28" s="4"/>
      <c r="F28" s="65"/>
      <c r="G28" s="32"/>
      <c r="H28" s="4"/>
      <c r="I28" s="4"/>
      <c r="J28" s="35"/>
      <c r="K28" s="25"/>
    </row>
    <row r="29" spans="1:11" ht="12.75">
      <c r="A29" s="29">
        <v>12</v>
      </c>
      <c r="B29" s="51"/>
      <c r="C29" s="53"/>
      <c r="D29" s="35"/>
      <c r="E29" s="4"/>
      <c r="F29" s="65"/>
      <c r="G29" s="32"/>
      <c r="H29" s="4"/>
      <c r="I29" s="4"/>
      <c r="J29" s="35"/>
      <c r="K29" s="25"/>
    </row>
    <row r="30" spans="1:11" ht="12.75">
      <c r="A30" s="29">
        <v>13</v>
      </c>
      <c r="B30" s="51"/>
      <c r="C30" s="53"/>
      <c r="D30" s="35"/>
      <c r="E30" s="4"/>
      <c r="F30" s="65"/>
      <c r="G30" s="32"/>
      <c r="H30" s="4"/>
      <c r="I30" s="4"/>
      <c r="J30" s="35"/>
      <c r="K30" s="25"/>
    </row>
    <row r="31" spans="1:11" ht="12.75">
      <c r="A31" s="29">
        <v>14</v>
      </c>
      <c r="B31" s="51"/>
      <c r="C31" s="53"/>
      <c r="D31" s="35"/>
      <c r="E31" s="4"/>
      <c r="F31" s="65"/>
      <c r="G31" s="32"/>
      <c r="H31" s="4"/>
      <c r="I31" s="4"/>
      <c r="J31" s="35"/>
      <c r="K31" s="25"/>
    </row>
    <row r="32" spans="1:11" ht="12.75">
      <c r="A32" s="29">
        <v>15</v>
      </c>
      <c r="B32" s="28"/>
      <c r="C32" s="52"/>
      <c r="D32" s="26"/>
      <c r="E32" s="2"/>
      <c r="F32" s="66"/>
      <c r="G32" s="3"/>
      <c r="H32" s="2"/>
      <c r="I32" s="2"/>
      <c r="J32" s="26"/>
      <c r="K32" s="25"/>
    </row>
    <row r="33" spans="1:11" ht="13.5" thickBot="1">
      <c r="A33" s="104">
        <v>16</v>
      </c>
      <c r="B33" s="105"/>
      <c r="C33" s="106"/>
      <c r="D33" s="107"/>
      <c r="E33" s="108"/>
      <c r="F33" s="109"/>
      <c r="G33" s="110"/>
      <c r="H33" s="108"/>
      <c r="I33" s="108"/>
      <c r="J33" s="107"/>
      <c r="K33" s="111"/>
    </row>
    <row r="34" spans="1:11" ht="13.5" thickBot="1">
      <c r="A34" s="79"/>
      <c r="B34" s="80"/>
      <c r="C34" s="44"/>
      <c r="D34" s="81"/>
      <c r="E34" s="21"/>
      <c r="F34" s="77"/>
      <c r="G34" s="37"/>
      <c r="H34" s="21"/>
      <c r="I34" s="21"/>
      <c r="J34" s="81"/>
      <c r="K34" s="48"/>
    </row>
    <row r="35" spans="1:11" s="14" customFormat="1" ht="13.5" customHeight="1">
      <c r="A35" s="264" t="s">
        <v>53</v>
      </c>
      <c r="B35" s="265"/>
      <c r="C35" s="265"/>
      <c r="D35" s="265"/>
      <c r="E35" s="265"/>
      <c r="F35" s="45">
        <f>SUM(F18:F33)</f>
        <v>10000</v>
      </c>
      <c r="G35" s="45">
        <f>SUM(G18:G33)</f>
        <v>3907.9700000000003</v>
      </c>
      <c r="H35" s="266"/>
      <c r="I35" s="267"/>
      <c r="J35" s="267"/>
      <c r="K35" s="94"/>
    </row>
    <row r="36" spans="1:11" s="14" customFormat="1" ht="13.5" customHeight="1">
      <c r="A36" s="112"/>
      <c r="B36" s="278" t="s">
        <v>24</v>
      </c>
      <c r="C36" s="279"/>
      <c r="D36" s="280"/>
      <c r="E36" s="281"/>
      <c r="F36" s="113"/>
      <c r="G36" s="113"/>
      <c r="H36" s="282"/>
      <c r="I36" s="283"/>
      <c r="J36" s="283"/>
      <c r="K36" s="54"/>
    </row>
    <row r="37" spans="1:11" s="14" customFormat="1" ht="13.5" customHeight="1">
      <c r="A37" s="112"/>
      <c r="B37" s="278"/>
      <c r="C37" s="284"/>
      <c r="D37" s="280"/>
      <c r="E37" s="281"/>
      <c r="F37" s="114"/>
      <c r="G37" s="114"/>
      <c r="H37" s="270"/>
      <c r="I37" s="279"/>
      <c r="J37" s="279"/>
      <c r="K37" s="55"/>
    </row>
    <row r="38" spans="1:11" s="14" customFormat="1" ht="13.5" customHeight="1">
      <c r="A38" s="115"/>
      <c r="B38" s="278" t="s">
        <v>4</v>
      </c>
      <c r="C38" s="293"/>
      <c r="D38" s="280"/>
      <c r="E38" s="281"/>
      <c r="F38" s="43">
        <v>0</v>
      </c>
      <c r="G38" s="43">
        <v>0</v>
      </c>
      <c r="H38" s="294"/>
      <c r="I38" s="295"/>
      <c r="J38" s="295"/>
      <c r="K38" s="57"/>
    </row>
    <row r="39" spans="1:11" s="14" customFormat="1" ht="13.5" customHeight="1">
      <c r="A39" s="115"/>
      <c r="B39" s="291" t="s">
        <v>3</v>
      </c>
      <c r="C39" s="291"/>
      <c r="D39" s="292"/>
      <c r="E39" s="292"/>
      <c r="F39" s="43">
        <f>F35-F37-F38</f>
        <v>10000</v>
      </c>
      <c r="G39" s="43">
        <f>G35-G37-G38</f>
        <v>3907.9700000000003</v>
      </c>
      <c r="H39" s="289"/>
      <c r="I39" s="290"/>
      <c r="J39" s="290"/>
      <c r="K39" s="36"/>
    </row>
    <row r="40" spans="1:11" s="14" customFormat="1" ht="13.5" customHeight="1" thickBot="1">
      <c r="A40" s="274" t="s">
        <v>121</v>
      </c>
      <c r="B40" s="275"/>
      <c r="C40" s="275"/>
      <c r="D40" s="275"/>
      <c r="E40" s="275"/>
      <c r="F40" s="47">
        <f>F16-F35</f>
        <v>6403</v>
      </c>
      <c r="G40" s="47">
        <f>G16-G35</f>
        <v>28238.98</v>
      </c>
      <c r="H40" s="276"/>
      <c r="I40" s="277"/>
      <c r="J40" s="277"/>
      <c r="K40" s="56"/>
    </row>
    <row r="41" spans="1:11" s="63" customFormat="1" ht="13.5" customHeight="1">
      <c r="A41" s="58"/>
      <c r="B41" s="58"/>
      <c r="C41" s="58"/>
      <c r="D41" s="58"/>
      <c r="E41" s="58"/>
      <c r="F41" s="59"/>
      <c r="G41" s="59"/>
      <c r="H41" s="61"/>
      <c r="I41" s="64"/>
      <c r="J41" s="64"/>
      <c r="K41" s="62"/>
    </row>
    <row r="42" spans="1:11" s="10" customFormat="1" ht="11.25">
      <c r="A42" s="21"/>
      <c r="B42" s="49"/>
      <c r="C42" s="21"/>
      <c r="D42" s="21"/>
      <c r="E42" s="21"/>
      <c r="F42" s="50"/>
      <c r="G42" s="37"/>
      <c r="H42" s="21"/>
      <c r="I42" s="21"/>
      <c r="J42" s="21"/>
      <c r="K42" s="23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  <row r="63" ht="12.75">
      <c r="K63" s="1"/>
    </row>
  </sheetData>
  <sheetProtection/>
  <mergeCells count="38">
    <mergeCell ref="K6:K7"/>
    <mergeCell ref="A9:K9"/>
    <mergeCell ref="A3:K3"/>
    <mergeCell ref="A4:K4"/>
    <mergeCell ref="A6:A7"/>
    <mergeCell ref="B6:B7"/>
    <mergeCell ref="C6:C7"/>
    <mergeCell ref="D6:D7"/>
    <mergeCell ref="E6:E7"/>
    <mergeCell ref="F6:F7"/>
    <mergeCell ref="A11:E11"/>
    <mergeCell ref="H11:J11"/>
    <mergeCell ref="A12:E12"/>
    <mergeCell ref="H12:J12"/>
    <mergeCell ref="I6:I7"/>
    <mergeCell ref="J6:J7"/>
    <mergeCell ref="G6:G7"/>
    <mergeCell ref="H6:H7"/>
    <mergeCell ref="A15:E15"/>
    <mergeCell ref="H15:J15"/>
    <mergeCell ref="A13:E13"/>
    <mergeCell ref="H13:J13"/>
    <mergeCell ref="A14:E14"/>
    <mergeCell ref="H14:J14"/>
    <mergeCell ref="B36:E36"/>
    <mergeCell ref="H36:J36"/>
    <mergeCell ref="B37:E37"/>
    <mergeCell ref="H37:J37"/>
    <mergeCell ref="A16:E16"/>
    <mergeCell ref="H16:J16"/>
    <mergeCell ref="A35:E35"/>
    <mergeCell ref="H35:J35"/>
    <mergeCell ref="A40:E40"/>
    <mergeCell ref="H40:J40"/>
    <mergeCell ref="B38:E38"/>
    <mergeCell ref="H38:J38"/>
    <mergeCell ref="B39:E39"/>
    <mergeCell ref="H39:J39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L63"/>
  <sheetViews>
    <sheetView zoomScale="150" zoomScaleNormal="150" zoomScalePageLayoutView="0" workbookViewId="0" topLeftCell="A8">
      <selection activeCell="G19" sqref="G19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7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201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138</v>
      </c>
      <c r="I2" s="10"/>
      <c r="J2" s="10"/>
      <c r="K2" s="10"/>
    </row>
    <row r="3" spans="1:12" ht="12.75" customHeight="1">
      <c r="A3" s="253" t="s">
        <v>117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39"/>
    </row>
    <row r="4" spans="1:11" ht="12.75" customHeight="1">
      <c r="A4" s="253" t="s">
        <v>200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55" t="s">
        <v>9</v>
      </c>
      <c r="B6" s="257" t="s">
        <v>0</v>
      </c>
      <c r="C6" s="257" t="s">
        <v>1</v>
      </c>
      <c r="D6" s="257" t="s">
        <v>10</v>
      </c>
      <c r="E6" s="257" t="s">
        <v>11</v>
      </c>
      <c r="F6" s="257" t="s">
        <v>12</v>
      </c>
      <c r="G6" s="311" t="s">
        <v>13</v>
      </c>
      <c r="H6" s="257" t="s">
        <v>14</v>
      </c>
      <c r="I6" s="257" t="s">
        <v>15</v>
      </c>
      <c r="J6" s="257" t="s">
        <v>16</v>
      </c>
      <c r="K6" s="259" t="s">
        <v>2</v>
      </c>
    </row>
    <row r="7" spans="1:11" ht="13.5" thickBot="1">
      <c r="A7" s="256"/>
      <c r="B7" s="258"/>
      <c r="C7" s="258"/>
      <c r="D7" s="258"/>
      <c r="E7" s="258"/>
      <c r="F7" s="258"/>
      <c r="G7" s="312"/>
      <c r="H7" s="258"/>
      <c r="I7" s="258"/>
      <c r="J7" s="258"/>
      <c r="K7" s="260"/>
    </row>
    <row r="8" spans="1:11" ht="13.5" thickBot="1">
      <c r="A8" s="38"/>
      <c r="B8" s="38"/>
      <c r="C8" s="38"/>
      <c r="D8" s="38"/>
      <c r="E8" s="38"/>
      <c r="F8" s="38"/>
      <c r="G8" s="138"/>
      <c r="H8" s="38"/>
      <c r="I8" s="38"/>
      <c r="J8" s="38"/>
      <c r="K8" s="38"/>
    </row>
    <row r="9" spans="1:11" ht="21" customHeight="1" thickBot="1">
      <c r="A9" s="261" t="s">
        <v>98</v>
      </c>
      <c r="B9" s="262"/>
      <c r="C9" s="262"/>
      <c r="D9" s="262"/>
      <c r="E9" s="262"/>
      <c r="F9" s="262"/>
      <c r="G9" s="262"/>
      <c r="H9" s="262"/>
      <c r="I9" s="262"/>
      <c r="J9" s="262"/>
      <c r="K9" s="263"/>
    </row>
    <row r="10" spans="1:11" s="14" customFormat="1" ht="12.75" customHeight="1">
      <c r="A10" s="15"/>
      <c r="B10" s="16"/>
      <c r="C10" s="16" t="s">
        <v>31</v>
      </c>
      <c r="D10" s="17">
        <v>160</v>
      </c>
      <c r="E10" s="18" t="s">
        <v>35</v>
      </c>
      <c r="F10" s="19"/>
      <c r="G10" s="139"/>
      <c r="H10" s="11" t="s">
        <v>8</v>
      </c>
      <c r="I10" s="135">
        <f>F12/D10/12</f>
        <v>3.8125</v>
      </c>
      <c r="J10" s="13" t="s">
        <v>36</v>
      </c>
      <c r="K10" s="20"/>
    </row>
    <row r="11" spans="1:11" s="14" customFormat="1" ht="13.5" customHeight="1">
      <c r="A11" s="272" t="s">
        <v>116</v>
      </c>
      <c r="B11" s="273"/>
      <c r="C11" s="273"/>
      <c r="D11" s="273"/>
      <c r="E11" s="273"/>
      <c r="F11" s="42">
        <v>2540</v>
      </c>
      <c r="G11" s="42">
        <v>20212.67</v>
      </c>
      <c r="H11" s="270"/>
      <c r="I11" s="271"/>
      <c r="J11" s="271"/>
      <c r="K11" s="55"/>
    </row>
    <row r="12" spans="1:11" s="14" customFormat="1" ht="13.5" customHeight="1">
      <c r="A12" s="268" t="s">
        <v>34</v>
      </c>
      <c r="B12" s="269"/>
      <c r="C12" s="269"/>
      <c r="D12" s="269"/>
      <c r="E12" s="269"/>
      <c r="F12" s="42">
        <v>7320</v>
      </c>
      <c r="G12" s="42">
        <v>15000</v>
      </c>
      <c r="H12" s="270"/>
      <c r="I12" s="271"/>
      <c r="J12" s="271"/>
      <c r="K12" s="55"/>
    </row>
    <row r="13" spans="1:11" s="14" customFormat="1" ht="13.5" customHeight="1">
      <c r="A13" s="268" t="s">
        <v>50</v>
      </c>
      <c r="B13" s="269"/>
      <c r="C13" s="269"/>
      <c r="D13" s="269"/>
      <c r="E13" s="269"/>
      <c r="F13" s="42">
        <f>-(D10*12*0)</f>
        <v>0</v>
      </c>
      <c r="G13" s="42">
        <v>0</v>
      </c>
      <c r="H13" s="270"/>
      <c r="I13" s="271"/>
      <c r="J13" s="271"/>
      <c r="K13" s="55"/>
    </row>
    <row r="14" spans="1:11" s="41" customFormat="1" ht="12.75" customHeight="1">
      <c r="A14" s="272" t="s">
        <v>99</v>
      </c>
      <c r="B14" s="273"/>
      <c r="C14" s="273"/>
      <c r="D14" s="273"/>
      <c r="E14" s="273"/>
      <c r="F14" s="42">
        <v>7680</v>
      </c>
      <c r="G14" s="42">
        <v>7648</v>
      </c>
      <c r="H14" s="270"/>
      <c r="I14" s="271"/>
      <c r="J14" s="271"/>
      <c r="K14" s="55"/>
    </row>
    <row r="15" spans="1:11" s="14" customFormat="1" ht="13.5" customHeight="1">
      <c r="A15" s="268" t="s">
        <v>104</v>
      </c>
      <c r="B15" s="269"/>
      <c r="C15" s="269"/>
      <c r="D15" s="269"/>
      <c r="E15" s="269"/>
      <c r="F15" s="42">
        <v>0</v>
      </c>
      <c r="G15" s="42">
        <v>0</v>
      </c>
      <c r="H15" s="270"/>
      <c r="I15" s="271"/>
      <c r="J15" s="271"/>
      <c r="K15" s="55"/>
    </row>
    <row r="16" spans="1:11" s="40" customFormat="1" ht="12.75" customHeight="1" thickBot="1">
      <c r="A16" s="287" t="s">
        <v>107</v>
      </c>
      <c r="B16" s="288"/>
      <c r="C16" s="288"/>
      <c r="D16" s="288"/>
      <c r="E16" s="288"/>
      <c r="F16" s="46">
        <f>F11+F12+F13+F14+F15</f>
        <v>17540</v>
      </c>
      <c r="G16" s="46">
        <f>G11+G12+G13+G14+G15</f>
        <v>42860.67</v>
      </c>
      <c r="H16" s="276"/>
      <c r="I16" s="277"/>
      <c r="J16" s="277"/>
      <c r="K16" s="56"/>
    </row>
    <row r="17" spans="1:11" s="86" customFormat="1" ht="13.5" customHeight="1" thickBot="1">
      <c r="A17" s="58"/>
      <c r="B17" s="58"/>
      <c r="C17" s="58"/>
      <c r="D17" s="58"/>
      <c r="E17" s="58"/>
      <c r="F17" s="59"/>
      <c r="G17" s="59"/>
      <c r="H17" s="61"/>
      <c r="I17" s="64"/>
      <c r="J17" s="64"/>
      <c r="K17" s="62"/>
    </row>
    <row r="18" spans="1:11" ht="14.25" customHeight="1">
      <c r="A18" s="87">
        <v>1</v>
      </c>
      <c r="B18" s="99" t="s">
        <v>25</v>
      </c>
      <c r="C18" s="99" t="s">
        <v>21</v>
      </c>
      <c r="D18" s="89"/>
      <c r="E18" s="90"/>
      <c r="F18" s="101">
        <v>10000</v>
      </c>
      <c r="G18" s="91"/>
      <c r="H18" s="89">
        <v>2013</v>
      </c>
      <c r="I18" s="90"/>
      <c r="J18" s="102" t="s">
        <v>3</v>
      </c>
      <c r="K18" s="103"/>
    </row>
    <row r="19" spans="1:11" ht="14.25" customHeight="1">
      <c r="A19" s="29">
        <v>2</v>
      </c>
      <c r="B19" s="28"/>
      <c r="C19" s="154" t="s">
        <v>193</v>
      </c>
      <c r="D19" s="155"/>
      <c r="E19" s="95"/>
      <c r="F19" s="156"/>
      <c r="G19" s="221">
        <f>70.89</f>
        <v>70.89</v>
      </c>
      <c r="H19" s="158"/>
      <c r="I19" s="2"/>
      <c r="J19" s="155" t="s">
        <v>3</v>
      </c>
      <c r="K19" s="25"/>
    </row>
    <row r="20" spans="1:11" ht="12.75">
      <c r="A20" s="30">
        <v>3</v>
      </c>
      <c r="B20" s="31"/>
      <c r="C20" s="160"/>
      <c r="D20" s="158"/>
      <c r="E20" s="158"/>
      <c r="F20" s="156"/>
      <c r="G20" s="161"/>
      <c r="H20" s="158"/>
      <c r="I20" s="4"/>
      <c r="J20" s="26"/>
      <c r="K20" s="34"/>
    </row>
    <row r="21" spans="1:11" ht="12.75">
      <c r="A21" s="30">
        <v>4</v>
      </c>
      <c r="B21" s="31"/>
      <c r="C21" s="160"/>
      <c r="D21" s="158"/>
      <c r="E21" s="158"/>
      <c r="F21" s="161"/>
      <c r="G21" s="161"/>
      <c r="H21" s="158"/>
      <c r="I21" s="4"/>
      <c r="J21" s="4"/>
      <c r="K21" s="33"/>
    </row>
    <row r="22" spans="1:11" ht="12.75">
      <c r="A22" s="30">
        <v>5</v>
      </c>
      <c r="B22" s="31"/>
      <c r="C22" s="160"/>
      <c r="D22" s="158"/>
      <c r="E22" s="158"/>
      <c r="F22" s="161"/>
      <c r="G22" s="161"/>
      <c r="H22" s="158"/>
      <c r="I22" s="4"/>
      <c r="J22" s="4"/>
      <c r="K22" s="33"/>
    </row>
    <row r="23" spans="1:11" ht="12.75">
      <c r="A23" s="30">
        <v>6</v>
      </c>
      <c r="B23" s="31"/>
      <c r="C23" s="160"/>
      <c r="D23" s="158"/>
      <c r="E23" s="158"/>
      <c r="F23" s="161"/>
      <c r="G23" s="161"/>
      <c r="H23" s="158"/>
      <c r="I23" s="4"/>
      <c r="J23" s="35"/>
      <c r="K23" s="33"/>
    </row>
    <row r="24" spans="1:11" ht="12.75">
      <c r="A24" s="29">
        <v>7</v>
      </c>
      <c r="B24" s="28"/>
      <c r="C24" s="173"/>
      <c r="D24" s="155"/>
      <c r="E24" s="95"/>
      <c r="F24" s="169"/>
      <c r="G24" s="157"/>
      <c r="H24" s="95"/>
      <c r="I24" s="2"/>
      <c r="J24" s="26"/>
      <c r="K24" s="25"/>
    </row>
    <row r="25" spans="1:11" ht="12.75">
      <c r="A25" s="29">
        <v>8</v>
      </c>
      <c r="B25" s="51"/>
      <c r="C25" s="166"/>
      <c r="D25" s="164"/>
      <c r="E25" s="158"/>
      <c r="F25" s="165"/>
      <c r="G25" s="161"/>
      <c r="H25" s="158"/>
      <c r="I25" s="4"/>
      <c r="J25" s="26"/>
      <c r="K25" s="25"/>
    </row>
    <row r="26" spans="1:11" ht="12.75">
      <c r="A26" s="29">
        <v>9</v>
      </c>
      <c r="B26" s="51"/>
      <c r="C26" s="166"/>
      <c r="D26" s="164"/>
      <c r="E26" s="158"/>
      <c r="F26" s="165"/>
      <c r="G26" s="161"/>
      <c r="H26" s="158"/>
      <c r="I26" s="4"/>
      <c r="J26" s="35"/>
      <c r="K26" s="25"/>
    </row>
    <row r="27" spans="1:11" ht="12.75">
      <c r="A27" s="29">
        <v>10</v>
      </c>
      <c r="B27" s="51"/>
      <c r="C27" s="166"/>
      <c r="D27" s="164"/>
      <c r="E27" s="158"/>
      <c r="F27" s="165"/>
      <c r="G27" s="161"/>
      <c r="H27" s="158"/>
      <c r="I27" s="4"/>
      <c r="J27" s="35"/>
      <c r="K27" s="25"/>
    </row>
    <row r="28" spans="1:11" ht="12.75">
      <c r="A28" s="29">
        <v>11</v>
      </c>
      <c r="B28" s="51"/>
      <c r="C28" s="166"/>
      <c r="D28" s="164"/>
      <c r="E28" s="158"/>
      <c r="F28" s="165"/>
      <c r="G28" s="161"/>
      <c r="H28" s="158"/>
      <c r="I28" s="4"/>
      <c r="J28" s="35"/>
      <c r="K28" s="25"/>
    </row>
    <row r="29" spans="1:11" ht="12.75">
      <c r="A29" s="29">
        <v>12</v>
      </c>
      <c r="B29" s="51"/>
      <c r="C29" s="166"/>
      <c r="D29" s="164"/>
      <c r="E29" s="158"/>
      <c r="F29" s="165"/>
      <c r="G29" s="161"/>
      <c r="H29" s="158"/>
      <c r="I29" s="4"/>
      <c r="J29" s="35"/>
      <c r="K29" s="25"/>
    </row>
    <row r="30" spans="1:11" ht="12.75">
      <c r="A30" s="29">
        <v>13</v>
      </c>
      <c r="B30" s="51"/>
      <c r="C30" s="166"/>
      <c r="D30" s="164"/>
      <c r="E30" s="158"/>
      <c r="F30" s="165"/>
      <c r="G30" s="161"/>
      <c r="H30" s="158"/>
      <c r="I30" s="4"/>
      <c r="J30" s="35"/>
      <c r="K30" s="25"/>
    </row>
    <row r="31" spans="1:11" ht="12.75">
      <c r="A31" s="29">
        <v>14</v>
      </c>
      <c r="B31" s="51"/>
      <c r="C31" s="53"/>
      <c r="D31" s="35"/>
      <c r="E31" s="4"/>
      <c r="F31" s="65"/>
      <c r="G31" s="32"/>
      <c r="H31" s="4"/>
      <c r="I31" s="4"/>
      <c r="J31" s="35"/>
      <c r="K31" s="25"/>
    </row>
    <row r="32" spans="1:11" ht="12.75">
      <c r="A32" s="29">
        <v>15</v>
      </c>
      <c r="B32" s="28"/>
      <c r="C32" s="52"/>
      <c r="D32" s="26"/>
      <c r="E32" s="2"/>
      <c r="F32" s="66"/>
      <c r="G32" s="3"/>
      <c r="H32" s="2"/>
      <c r="I32" s="2"/>
      <c r="J32" s="26"/>
      <c r="K32" s="25"/>
    </row>
    <row r="33" spans="1:11" ht="13.5" thickBot="1">
      <c r="A33" s="104">
        <v>16</v>
      </c>
      <c r="B33" s="105"/>
      <c r="C33" s="106"/>
      <c r="D33" s="107"/>
      <c r="E33" s="108"/>
      <c r="F33" s="109"/>
      <c r="G33" s="110"/>
      <c r="H33" s="108"/>
      <c r="I33" s="108"/>
      <c r="J33" s="107"/>
      <c r="K33" s="111"/>
    </row>
    <row r="34" spans="1:11" ht="13.5" thickBot="1">
      <c r="A34" s="79"/>
      <c r="B34" s="80"/>
      <c r="C34" s="44"/>
      <c r="D34" s="81"/>
      <c r="E34" s="21"/>
      <c r="F34" s="77"/>
      <c r="G34" s="37"/>
      <c r="H34" s="21"/>
      <c r="I34" s="21"/>
      <c r="J34" s="81"/>
      <c r="K34" s="48"/>
    </row>
    <row r="35" spans="1:11" s="14" customFormat="1" ht="13.5" customHeight="1">
      <c r="A35" s="264" t="s">
        <v>53</v>
      </c>
      <c r="B35" s="265"/>
      <c r="C35" s="265"/>
      <c r="D35" s="265"/>
      <c r="E35" s="265"/>
      <c r="F35" s="45">
        <f>SUM(F18:F33)</f>
        <v>10000</v>
      </c>
      <c r="G35" s="45">
        <f>SUM(G18:G33)</f>
        <v>70.89</v>
      </c>
      <c r="H35" s="266"/>
      <c r="I35" s="267"/>
      <c r="J35" s="267"/>
      <c r="K35" s="94"/>
    </row>
    <row r="36" spans="1:11" s="14" customFormat="1" ht="13.5" customHeight="1">
      <c r="A36" s="112"/>
      <c r="B36" s="278" t="s">
        <v>24</v>
      </c>
      <c r="C36" s="279"/>
      <c r="D36" s="280"/>
      <c r="E36" s="281"/>
      <c r="F36" s="113"/>
      <c r="G36" s="113"/>
      <c r="H36" s="282"/>
      <c r="I36" s="283"/>
      <c r="J36" s="283"/>
      <c r="K36" s="54"/>
    </row>
    <row r="37" spans="1:11" s="14" customFormat="1" ht="13.5" customHeight="1">
      <c r="A37" s="112"/>
      <c r="B37" s="278"/>
      <c r="C37" s="284"/>
      <c r="D37" s="280"/>
      <c r="E37" s="281"/>
      <c r="F37" s="114"/>
      <c r="G37" s="114"/>
      <c r="H37" s="270"/>
      <c r="I37" s="279"/>
      <c r="J37" s="279"/>
      <c r="K37" s="55"/>
    </row>
    <row r="38" spans="1:11" s="14" customFormat="1" ht="13.5" customHeight="1">
      <c r="A38" s="115"/>
      <c r="B38" s="278" t="s">
        <v>4</v>
      </c>
      <c r="C38" s="293"/>
      <c r="D38" s="280"/>
      <c r="E38" s="281"/>
      <c r="F38" s="43">
        <v>0</v>
      </c>
      <c r="G38" s="43">
        <v>0</v>
      </c>
      <c r="H38" s="294"/>
      <c r="I38" s="295"/>
      <c r="J38" s="295"/>
      <c r="K38" s="57"/>
    </row>
    <row r="39" spans="1:11" s="14" customFormat="1" ht="13.5" customHeight="1">
      <c r="A39" s="115"/>
      <c r="B39" s="291" t="s">
        <v>3</v>
      </c>
      <c r="C39" s="291"/>
      <c r="D39" s="292"/>
      <c r="E39" s="292"/>
      <c r="F39" s="43">
        <f>F35-F37-F38</f>
        <v>10000</v>
      </c>
      <c r="G39" s="43">
        <f>G35-G37-G38</f>
        <v>70.89</v>
      </c>
      <c r="H39" s="289"/>
      <c r="I39" s="290"/>
      <c r="J39" s="290"/>
      <c r="K39" s="36"/>
    </row>
    <row r="40" spans="1:11" s="14" customFormat="1" ht="13.5" customHeight="1" thickBot="1">
      <c r="A40" s="274" t="s">
        <v>121</v>
      </c>
      <c r="B40" s="275"/>
      <c r="C40" s="275"/>
      <c r="D40" s="275"/>
      <c r="E40" s="275"/>
      <c r="F40" s="47">
        <f>F16-F35</f>
        <v>7540</v>
      </c>
      <c r="G40" s="47">
        <f>G16-G35</f>
        <v>42789.78</v>
      </c>
      <c r="H40" s="276"/>
      <c r="I40" s="277"/>
      <c r="J40" s="277"/>
      <c r="K40" s="56"/>
    </row>
    <row r="41" spans="1:11" s="63" customFormat="1" ht="13.5" customHeight="1">
      <c r="A41" s="58"/>
      <c r="B41" s="58"/>
      <c r="C41" s="58"/>
      <c r="D41" s="58"/>
      <c r="E41" s="58"/>
      <c r="F41" s="59"/>
      <c r="G41" s="59"/>
      <c r="H41" s="61"/>
      <c r="I41" s="64"/>
      <c r="J41" s="64"/>
      <c r="K41" s="62"/>
    </row>
    <row r="42" spans="1:11" s="10" customFormat="1" ht="11.25">
      <c r="A42" s="21"/>
      <c r="B42" s="49"/>
      <c r="C42" s="21"/>
      <c r="D42" s="21"/>
      <c r="E42" s="21"/>
      <c r="F42" s="50"/>
      <c r="G42" s="37"/>
      <c r="H42" s="21"/>
      <c r="I42" s="21"/>
      <c r="J42" s="21"/>
      <c r="K42" s="23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  <row r="63" ht="12.75">
      <c r="K63" s="1"/>
    </row>
  </sheetData>
  <sheetProtection/>
  <mergeCells count="38">
    <mergeCell ref="B39:E39"/>
    <mergeCell ref="H39:J39"/>
    <mergeCell ref="A40:E40"/>
    <mergeCell ref="H40:J40"/>
    <mergeCell ref="B36:E36"/>
    <mergeCell ref="H36:J36"/>
    <mergeCell ref="B37:E37"/>
    <mergeCell ref="H37:J37"/>
    <mergeCell ref="B38:E38"/>
    <mergeCell ref="H38:J38"/>
    <mergeCell ref="A15:E15"/>
    <mergeCell ref="H15:J15"/>
    <mergeCell ref="A16:E16"/>
    <mergeCell ref="H16:J16"/>
    <mergeCell ref="A35:E35"/>
    <mergeCell ref="H35:J35"/>
    <mergeCell ref="A12:E12"/>
    <mergeCell ref="H12:J12"/>
    <mergeCell ref="A13:E13"/>
    <mergeCell ref="H13:J13"/>
    <mergeCell ref="A14:E14"/>
    <mergeCell ref="H14:J14"/>
    <mergeCell ref="I6:I7"/>
    <mergeCell ref="J6:J7"/>
    <mergeCell ref="K6:K7"/>
    <mergeCell ref="A9:K9"/>
    <mergeCell ref="A11:E11"/>
    <mergeCell ref="H11:J11"/>
    <mergeCell ref="A3:K3"/>
    <mergeCell ref="A4:K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7" sqref="F3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="150" zoomScaleNormal="150" zoomScalePageLayoutView="0" workbookViewId="0" topLeftCell="A13">
      <selection activeCell="B30" sqref="B30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7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201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138</v>
      </c>
      <c r="I2" s="10"/>
      <c r="J2" s="10"/>
      <c r="K2" s="10"/>
    </row>
    <row r="3" spans="1:12" ht="12.75" customHeight="1">
      <c r="A3" s="253" t="s">
        <v>117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39"/>
    </row>
    <row r="4" spans="1:11" ht="12.75" customHeight="1">
      <c r="A4" s="253" t="s">
        <v>200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55" t="s">
        <v>9</v>
      </c>
      <c r="B6" s="257" t="s">
        <v>0</v>
      </c>
      <c r="C6" s="257" t="s">
        <v>1</v>
      </c>
      <c r="D6" s="257" t="s">
        <v>10</v>
      </c>
      <c r="E6" s="257" t="s">
        <v>11</v>
      </c>
      <c r="F6" s="257" t="s">
        <v>12</v>
      </c>
      <c r="G6" s="311" t="s">
        <v>13</v>
      </c>
      <c r="H6" s="257" t="s">
        <v>14</v>
      </c>
      <c r="I6" s="257" t="s">
        <v>15</v>
      </c>
      <c r="J6" s="257" t="s">
        <v>16</v>
      </c>
      <c r="K6" s="259" t="s">
        <v>2</v>
      </c>
    </row>
    <row r="7" spans="1:11" ht="13.5" thickBot="1">
      <c r="A7" s="256"/>
      <c r="B7" s="258"/>
      <c r="C7" s="258"/>
      <c r="D7" s="258"/>
      <c r="E7" s="258"/>
      <c r="F7" s="258"/>
      <c r="G7" s="312"/>
      <c r="H7" s="258"/>
      <c r="I7" s="258"/>
      <c r="J7" s="258"/>
      <c r="K7" s="260"/>
    </row>
    <row r="8" spans="1:11" ht="13.5" thickBot="1">
      <c r="A8" s="38"/>
      <c r="B8" s="38"/>
      <c r="C8" s="38"/>
      <c r="D8" s="38"/>
      <c r="E8" s="38"/>
      <c r="F8" s="38"/>
      <c r="G8" s="138"/>
      <c r="H8" s="38"/>
      <c r="I8" s="38"/>
      <c r="J8" s="38"/>
      <c r="K8" s="38"/>
    </row>
    <row r="9" spans="1:11" ht="21" customHeight="1" thickBot="1">
      <c r="A9" s="261" t="s">
        <v>63</v>
      </c>
      <c r="B9" s="262"/>
      <c r="C9" s="262"/>
      <c r="D9" s="262"/>
      <c r="E9" s="262"/>
      <c r="F9" s="262"/>
      <c r="G9" s="262"/>
      <c r="H9" s="262"/>
      <c r="I9" s="262"/>
      <c r="J9" s="262"/>
      <c r="K9" s="263"/>
    </row>
    <row r="10" spans="1:11" s="14" customFormat="1" ht="12.75" customHeight="1">
      <c r="A10" s="15"/>
      <c r="B10" s="16"/>
      <c r="C10" s="16" t="s">
        <v>17</v>
      </c>
      <c r="D10" s="17">
        <v>28443.63</v>
      </c>
      <c r="E10" s="18" t="s">
        <v>6</v>
      </c>
      <c r="F10" s="19"/>
      <c r="G10" s="139"/>
      <c r="H10" s="11" t="s">
        <v>8</v>
      </c>
      <c r="I10" s="12">
        <v>1.3</v>
      </c>
      <c r="J10" s="13" t="s">
        <v>7</v>
      </c>
      <c r="K10" s="20"/>
    </row>
    <row r="11" spans="1:11" s="14" customFormat="1" ht="13.5" customHeight="1">
      <c r="A11" s="272" t="s">
        <v>118</v>
      </c>
      <c r="B11" s="273"/>
      <c r="C11" s="273"/>
      <c r="D11" s="273"/>
      <c r="E11" s="273"/>
      <c r="F11" s="42">
        <v>0</v>
      </c>
      <c r="G11" s="42">
        <f>-59573.67</f>
        <v>-59573.67</v>
      </c>
      <c r="H11" s="270"/>
      <c r="I11" s="271"/>
      <c r="J11" s="271"/>
      <c r="K11" s="55"/>
    </row>
    <row r="12" spans="1:11" s="14" customFormat="1" ht="13.5" customHeight="1">
      <c r="A12" s="268" t="s">
        <v>34</v>
      </c>
      <c r="B12" s="269"/>
      <c r="C12" s="269"/>
      <c r="D12" s="269"/>
      <c r="E12" s="269"/>
      <c r="F12" s="42">
        <f>D10*I10*12</f>
        <v>443720.628</v>
      </c>
      <c r="G12" s="42">
        <f>42963.96+83277.48+112402.68+83804.76+45835.11+75436.65</f>
        <v>443720.64</v>
      </c>
      <c r="H12" s="270"/>
      <c r="I12" s="271"/>
      <c r="J12" s="271"/>
      <c r="K12" s="55"/>
    </row>
    <row r="13" spans="1:11" s="14" customFormat="1" ht="13.5" customHeight="1">
      <c r="A13" s="268" t="s">
        <v>50</v>
      </c>
      <c r="B13" s="269"/>
      <c r="C13" s="269"/>
      <c r="D13" s="269"/>
      <c r="E13" s="269"/>
      <c r="F13" s="42">
        <f>-(D10*12*0)</f>
        <v>0</v>
      </c>
      <c r="G13" s="42">
        <v>0</v>
      </c>
      <c r="H13" s="270"/>
      <c r="I13" s="271"/>
      <c r="J13" s="271"/>
      <c r="K13" s="55"/>
    </row>
    <row r="14" spans="1:11" s="41" customFormat="1" ht="12.75" customHeight="1">
      <c r="A14" s="272" t="s">
        <v>60</v>
      </c>
      <c r="B14" s="273"/>
      <c r="C14" s="273"/>
      <c r="D14" s="273"/>
      <c r="E14" s="273"/>
      <c r="F14" s="42">
        <v>90000</v>
      </c>
      <c r="G14" s="42">
        <f>225.77+253.23+76280.98</f>
        <v>76759.98</v>
      </c>
      <c r="H14" s="270"/>
      <c r="I14" s="271"/>
      <c r="J14" s="271"/>
      <c r="K14" s="55"/>
    </row>
    <row r="15" spans="1:11" s="14" customFormat="1" ht="13.5" customHeight="1">
      <c r="A15" s="268" t="s">
        <v>104</v>
      </c>
      <c r="B15" s="269"/>
      <c r="C15" s="269"/>
      <c r="D15" s="269"/>
      <c r="E15" s="269"/>
      <c r="F15" s="42">
        <v>0</v>
      </c>
      <c r="G15" s="42">
        <v>0</v>
      </c>
      <c r="H15" s="270"/>
      <c r="I15" s="271"/>
      <c r="J15" s="271"/>
      <c r="K15" s="55"/>
    </row>
    <row r="16" spans="1:11" s="40" customFormat="1" ht="12.75" customHeight="1" thickBot="1">
      <c r="A16" s="287" t="s">
        <v>107</v>
      </c>
      <c r="B16" s="288"/>
      <c r="C16" s="288"/>
      <c r="D16" s="288"/>
      <c r="E16" s="288"/>
      <c r="F16" s="46">
        <f>F11+F12+F13+F14+F15</f>
        <v>533720.628</v>
      </c>
      <c r="G16" s="46">
        <f>G11+G12+G13+G14+G15</f>
        <v>460906.95</v>
      </c>
      <c r="H16" s="276"/>
      <c r="I16" s="277"/>
      <c r="J16" s="277"/>
      <c r="K16" s="56"/>
    </row>
    <row r="17" spans="1:11" s="86" customFormat="1" ht="13.5" customHeight="1" thickBot="1">
      <c r="A17" s="58"/>
      <c r="B17" s="58"/>
      <c r="C17" s="58"/>
      <c r="D17" s="58"/>
      <c r="E17" s="58"/>
      <c r="F17" s="59"/>
      <c r="G17" s="59"/>
      <c r="H17" s="61"/>
      <c r="I17" s="64"/>
      <c r="J17" s="64"/>
      <c r="K17" s="62"/>
    </row>
    <row r="18" spans="1:11" ht="12.75">
      <c r="A18" s="87">
        <v>1</v>
      </c>
      <c r="B18" s="70" t="s">
        <v>38</v>
      </c>
      <c r="C18" s="70" t="s">
        <v>97</v>
      </c>
      <c r="D18" s="71" t="s">
        <v>109</v>
      </c>
      <c r="E18" s="70"/>
      <c r="F18" s="72">
        <v>90000</v>
      </c>
      <c r="G18" s="245">
        <f>36813.74+38473.38</f>
        <v>75287.12</v>
      </c>
      <c r="H18" s="90" t="s">
        <v>49</v>
      </c>
      <c r="I18" s="90" t="s">
        <v>49</v>
      </c>
      <c r="J18" s="89" t="s">
        <v>3</v>
      </c>
      <c r="K18" s="146" t="s">
        <v>23</v>
      </c>
    </row>
    <row r="19" spans="1:11" ht="12.75">
      <c r="A19" s="29">
        <v>2</v>
      </c>
      <c r="B19" s="142" t="s">
        <v>37</v>
      </c>
      <c r="C19" s="53" t="s">
        <v>26</v>
      </c>
      <c r="D19" s="83" t="s">
        <v>123</v>
      </c>
      <c r="E19" s="143"/>
      <c r="F19" s="144">
        <v>215000</v>
      </c>
      <c r="G19" s="243">
        <v>203579.81</v>
      </c>
      <c r="H19" s="84">
        <v>2013</v>
      </c>
      <c r="I19" s="84">
        <v>2013</v>
      </c>
      <c r="J19" s="83" t="s">
        <v>3</v>
      </c>
      <c r="K19" s="85"/>
    </row>
    <row r="20" spans="1:11" ht="12.75">
      <c r="A20" s="29">
        <v>3</v>
      </c>
      <c r="B20" s="51" t="s">
        <v>38</v>
      </c>
      <c r="C20" s="52" t="s">
        <v>231</v>
      </c>
      <c r="D20" s="35"/>
      <c r="E20" s="4"/>
      <c r="F20" s="65">
        <v>40000</v>
      </c>
      <c r="G20" s="213">
        <f>14699.11+6394.72+10777.62</f>
        <v>31871.450000000004</v>
      </c>
      <c r="H20" s="4" t="s">
        <v>48</v>
      </c>
      <c r="I20" s="4">
        <v>2013</v>
      </c>
      <c r="J20" s="26" t="s">
        <v>3</v>
      </c>
      <c r="K20" s="25"/>
    </row>
    <row r="21" spans="1:11" ht="12.75">
      <c r="A21" s="29">
        <v>4</v>
      </c>
      <c r="B21" s="51" t="s">
        <v>59</v>
      </c>
      <c r="C21" s="53" t="s">
        <v>202</v>
      </c>
      <c r="D21" s="35" t="s">
        <v>150</v>
      </c>
      <c r="E21" s="4"/>
      <c r="F21" s="65">
        <v>12000</v>
      </c>
      <c r="G21" s="213">
        <f>10476+882</f>
        <v>11358</v>
      </c>
      <c r="H21" s="4" t="s">
        <v>48</v>
      </c>
      <c r="I21" s="4">
        <v>2013</v>
      </c>
      <c r="J21" s="26" t="s">
        <v>3</v>
      </c>
      <c r="K21" s="25"/>
    </row>
    <row r="22" spans="1:11" ht="12.75">
      <c r="A22" s="29">
        <v>5</v>
      </c>
      <c r="B22" s="51" t="s">
        <v>33</v>
      </c>
      <c r="C22" s="53" t="s">
        <v>160</v>
      </c>
      <c r="D22" s="35" t="s">
        <v>137</v>
      </c>
      <c r="E22" s="4" t="s">
        <v>158</v>
      </c>
      <c r="F22" s="65">
        <v>135000</v>
      </c>
      <c r="G22" s="213">
        <v>27050.34</v>
      </c>
      <c r="H22" s="4">
        <v>2013</v>
      </c>
      <c r="I22" s="4">
        <v>2013</v>
      </c>
      <c r="J22" s="35" t="s">
        <v>4</v>
      </c>
      <c r="K22" s="67"/>
    </row>
    <row r="23" spans="1:11" ht="12.75">
      <c r="A23" s="29">
        <v>6</v>
      </c>
      <c r="B23" s="51" t="s">
        <v>33</v>
      </c>
      <c r="C23" s="22" t="s">
        <v>159</v>
      </c>
      <c r="D23" s="26" t="s">
        <v>137</v>
      </c>
      <c r="E23" s="2"/>
      <c r="F23" s="66"/>
      <c r="G23" s="213">
        <f>569.49+9575.28+4536</f>
        <v>14680.77</v>
      </c>
      <c r="H23" s="2">
        <v>2013</v>
      </c>
      <c r="I23" s="2">
        <v>2013</v>
      </c>
      <c r="J23" s="26" t="s">
        <v>3</v>
      </c>
      <c r="K23" s="25"/>
    </row>
    <row r="24" spans="1:11" s="132" customFormat="1" ht="12.75">
      <c r="A24" s="133">
        <v>7</v>
      </c>
      <c r="B24" s="28"/>
      <c r="C24" s="22" t="s">
        <v>125</v>
      </c>
      <c r="D24" s="26" t="s">
        <v>126</v>
      </c>
      <c r="E24" s="2"/>
      <c r="F24" s="66">
        <v>12000</v>
      </c>
      <c r="G24" s="214">
        <f>1107*6</f>
        <v>6642</v>
      </c>
      <c r="H24" s="2">
        <v>2013</v>
      </c>
      <c r="I24" s="2">
        <v>2013</v>
      </c>
      <c r="J24" s="26" t="s">
        <v>3</v>
      </c>
      <c r="K24" s="129"/>
    </row>
    <row r="25" spans="1:11" s="132" customFormat="1" ht="12.75">
      <c r="A25" s="131">
        <v>8</v>
      </c>
      <c r="B25" s="125"/>
      <c r="C25" s="22" t="s">
        <v>21</v>
      </c>
      <c r="D25" s="26"/>
      <c r="E25" s="2"/>
      <c r="F25" s="66">
        <v>25000</v>
      </c>
      <c r="G25" s="215"/>
      <c r="H25" s="68"/>
      <c r="I25" s="68"/>
      <c r="J25" s="124" t="s">
        <v>4</v>
      </c>
      <c r="K25" s="172"/>
    </row>
    <row r="26" spans="1:11" s="132" customFormat="1" ht="12.75">
      <c r="A26" s="131">
        <v>9</v>
      </c>
      <c r="B26" s="167" t="s">
        <v>38</v>
      </c>
      <c r="C26" s="168" t="s">
        <v>173</v>
      </c>
      <c r="D26" s="155"/>
      <c r="E26" s="95"/>
      <c r="F26" s="169" t="s">
        <v>116</v>
      </c>
      <c r="G26" s="218">
        <f>2921.07+2833.92+1205.4+1350</f>
        <v>8310.39</v>
      </c>
      <c r="H26" s="170"/>
      <c r="I26" s="170">
        <v>2013</v>
      </c>
      <c r="J26" s="171" t="s">
        <v>3</v>
      </c>
      <c r="K26" s="172"/>
    </row>
    <row r="27" spans="1:11" ht="12.75">
      <c r="A27" s="205">
        <v>10</v>
      </c>
      <c r="B27" s="167" t="s">
        <v>59</v>
      </c>
      <c r="C27" s="173" t="s">
        <v>143</v>
      </c>
      <c r="D27" s="174"/>
      <c r="E27" s="174"/>
      <c r="F27" s="169"/>
      <c r="G27" s="244">
        <f>4135.04+4320</f>
        <v>8455.04</v>
      </c>
      <c r="H27" s="170"/>
      <c r="I27" s="170">
        <v>2013</v>
      </c>
      <c r="J27" s="171" t="s">
        <v>3</v>
      </c>
      <c r="K27" s="204"/>
    </row>
    <row r="28" spans="1:11" ht="12.75">
      <c r="A28" s="29">
        <v>11</v>
      </c>
      <c r="B28" s="175" t="s">
        <v>203</v>
      </c>
      <c r="C28" s="166" t="s">
        <v>144</v>
      </c>
      <c r="D28" s="174"/>
      <c r="E28" s="174"/>
      <c r="F28" s="165"/>
      <c r="G28" s="244">
        <f>378+1188+6102+1296+5580</f>
        <v>14544</v>
      </c>
      <c r="H28" s="170"/>
      <c r="I28" s="170">
        <v>2013</v>
      </c>
      <c r="J28" s="176" t="s">
        <v>3</v>
      </c>
      <c r="K28" s="207"/>
    </row>
    <row r="29" spans="1:11" ht="12.75">
      <c r="A29" s="29">
        <v>12</v>
      </c>
      <c r="B29" s="167"/>
      <c r="C29" s="173" t="s">
        <v>161</v>
      </c>
      <c r="D29" s="170"/>
      <c r="E29" s="170"/>
      <c r="F29" s="169"/>
      <c r="G29" s="218">
        <f>323.13+221.77+6320.64</f>
        <v>6865.54</v>
      </c>
      <c r="H29" s="170"/>
      <c r="I29" s="170">
        <v>2013</v>
      </c>
      <c r="J29" s="170" t="s">
        <v>4</v>
      </c>
      <c r="K29" s="207"/>
    </row>
    <row r="30" spans="1:11" ht="12.75">
      <c r="A30" s="29">
        <v>13</v>
      </c>
      <c r="B30" s="167" t="s">
        <v>232</v>
      </c>
      <c r="C30" s="173" t="s">
        <v>172</v>
      </c>
      <c r="D30" s="170"/>
      <c r="E30" s="170"/>
      <c r="F30" s="169"/>
      <c r="G30" s="218">
        <f>7983.81+10513.97+7983.81</f>
        <v>26481.59</v>
      </c>
      <c r="H30" s="170"/>
      <c r="I30" s="170">
        <v>2013</v>
      </c>
      <c r="J30" s="170" t="s">
        <v>3</v>
      </c>
      <c r="K30" s="207"/>
    </row>
    <row r="31" spans="1:11" ht="12.75">
      <c r="A31" s="29">
        <v>14</v>
      </c>
      <c r="B31" s="167" t="s">
        <v>195</v>
      </c>
      <c r="C31" s="173" t="s">
        <v>196</v>
      </c>
      <c r="D31" s="170"/>
      <c r="E31" s="170"/>
      <c r="F31" s="169"/>
      <c r="G31" s="218">
        <f>2669.1+2669.1</f>
        <v>5338.2</v>
      </c>
      <c r="H31" s="170"/>
      <c r="I31" s="170">
        <v>2013</v>
      </c>
      <c r="J31" s="170" t="s">
        <v>3</v>
      </c>
      <c r="K31" s="207"/>
    </row>
    <row r="32" spans="1:11" ht="12.75">
      <c r="A32" s="29">
        <v>15</v>
      </c>
      <c r="B32" s="167" t="s">
        <v>174</v>
      </c>
      <c r="C32" s="173" t="s">
        <v>197</v>
      </c>
      <c r="D32" s="170"/>
      <c r="E32" s="170"/>
      <c r="F32" s="169"/>
      <c r="G32" s="218">
        <f>12235.41+12193.46</f>
        <v>24428.87</v>
      </c>
      <c r="H32" s="170"/>
      <c r="I32" s="170">
        <v>2013</v>
      </c>
      <c r="J32" s="170" t="s">
        <v>4</v>
      </c>
      <c r="K32" s="207"/>
    </row>
    <row r="33" spans="1:11" ht="13.5" thickBot="1">
      <c r="A33" s="104">
        <v>16</v>
      </c>
      <c r="B33" s="185" t="s">
        <v>38</v>
      </c>
      <c r="C33" s="206" t="s">
        <v>204</v>
      </c>
      <c r="D33" s="187"/>
      <c r="E33" s="188"/>
      <c r="F33" s="189"/>
      <c r="G33" s="242">
        <v>17480.44</v>
      </c>
      <c r="H33" s="219"/>
      <c r="I33" s="219">
        <v>2013</v>
      </c>
      <c r="J33" s="187" t="s">
        <v>4</v>
      </c>
      <c r="K33" s="191"/>
    </row>
    <row r="34" spans="1:11" ht="13.5" thickBot="1">
      <c r="A34" s="79"/>
      <c r="B34" s="80"/>
      <c r="C34" s="44"/>
      <c r="D34" s="81"/>
      <c r="E34" s="21"/>
      <c r="F34" s="77"/>
      <c r="G34" s="37"/>
      <c r="H34" s="21"/>
      <c r="I34" s="21"/>
      <c r="J34" s="81"/>
      <c r="K34" s="48"/>
    </row>
    <row r="35" spans="1:11" s="14" customFormat="1" ht="13.5" customHeight="1">
      <c r="A35" s="264" t="s">
        <v>53</v>
      </c>
      <c r="B35" s="265"/>
      <c r="C35" s="265"/>
      <c r="D35" s="265"/>
      <c r="E35" s="265"/>
      <c r="F35" s="45">
        <f>SUM(F18:F33)</f>
        <v>529000</v>
      </c>
      <c r="G35" s="45">
        <f>SUM(G18:G33)</f>
        <v>482373.56000000006</v>
      </c>
      <c r="H35" s="266"/>
      <c r="I35" s="267"/>
      <c r="J35" s="267"/>
      <c r="K35" s="94"/>
    </row>
    <row r="36" spans="1:11" s="14" customFormat="1" ht="13.5" customHeight="1">
      <c r="A36" s="112"/>
      <c r="B36" s="278" t="s">
        <v>24</v>
      </c>
      <c r="C36" s="279"/>
      <c r="D36" s="280"/>
      <c r="E36" s="281"/>
      <c r="F36" s="113"/>
      <c r="G36" s="113"/>
      <c r="H36" s="282"/>
      <c r="I36" s="283"/>
      <c r="J36" s="283"/>
      <c r="K36" s="54"/>
    </row>
    <row r="37" spans="1:11" s="14" customFormat="1" ht="13.5" customHeight="1">
      <c r="A37" s="112"/>
      <c r="B37" s="278"/>
      <c r="C37" s="284"/>
      <c r="D37" s="280"/>
      <c r="E37" s="281"/>
      <c r="F37" s="114"/>
      <c r="G37" s="114"/>
      <c r="H37" s="270"/>
      <c r="I37" s="279"/>
      <c r="J37" s="279"/>
      <c r="K37" s="55"/>
    </row>
    <row r="38" spans="1:11" s="14" customFormat="1" ht="13.5" customHeight="1">
      <c r="A38" s="115"/>
      <c r="B38" s="278" t="s">
        <v>4</v>
      </c>
      <c r="C38" s="293"/>
      <c r="D38" s="280"/>
      <c r="E38" s="281"/>
      <c r="F38" s="43">
        <f>F22+F25+F29</f>
        <v>160000</v>
      </c>
      <c r="G38" s="43">
        <f>G22+G32+G29+G33</f>
        <v>75825.19</v>
      </c>
      <c r="H38" s="294"/>
      <c r="I38" s="295"/>
      <c r="J38" s="295"/>
      <c r="K38" s="57"/>
    </row>
    <row r="39" spans="1:11" s="14" customFormat="1" ht="13.5" customHeight="1">
      <c r="A39" s="115"/>
      <c r="B39" s="291" t="s">
        <v>3</v>
      </c>
      <c r="C39" s="291"/>
      <c r="D39" s="292"/>
      <c r="E39" s="292"/>
      <c r="F39" s="43">
        <f>F35-F37-F38</f>
        <v>369000</v>
      </c>
      <c r="G39" s="43">
        <f>G35-G37-G38</f>
        <v>406548.37000000005</v>
      </c>
      <c r="H39" s="289"/>
      <c r="I39" s="290"/>
      <c r="J39" s="290"/>
      <c r="K39" s="36"/>
    </row>
    <row r="40" spans="1:11" s="14" customFormat="1" ht="13.5" customHeight="1" thickBot="1">
      <c r="A40" s="274" t="s">
        <v>121</v>
      </c>
      <c r="B40" s="275"/>
      <c r="C40" s="275"/>
      <c r="D40" s="275"/>
      <c r="E40" s="275"/>
      <c r="F40" s="47">
        <f>F16-F35</f>
        <v>4720.628000000026</v>
      </c>
      <c r="G40" s="47">
        <f>G16-G35</f>
        <v>-21466.610000000044</v>
      </c>
      <c r="H40" s="276"/>
      <c r="I40" s="277"/>
      <c r="J40" s="277"/>
      <c r="K40" s="56"/>
    </row>
    <row r="41" spans="1:11" s="63" customFormat="1" ht="13.5" customHeight="1">
      <c r="A41" s="58"/>
      <c r="B41" s="58"/>
      <c r="C41" s="58"/>
      <c r="D41" s="58"/>
      <c r="E41" s="58"/>
      <c r="F41" s="59"/>
      <c r="G41" s="59"/>
      <c r="H41" s="61"/>
      <c r="I41" s="64"/>
      <c r="J41" s="64"/>
      <c r="K41" s="62"/>
    </row>
    <row r="42" spans="1:11" s="10" customFormat="1" ht="11.25">
      <c r="A42" s="21"/>
      <c r="B42" s="49"/>
      <c r="C42" s="21"/>
      <c r="D42" s="21"/>
      <c r="E42" s="21"/>
      <c r="F42" s="50"/>
      <c r="G42" s="37"/>
      <c r="H42" s="21"/>
      <c r="I42" s="21"/>
      <c r="J42" s="21"/>
      <c r="K42" s="23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  <row r="63" ht="12.75">
      <c r="K63" s="1"/>
    </row>
  </sheetData>
  <sheetProtection/>
  <mergeCells count="38">
    <mergeCell ref="H38:J38"/>
    <mergeCell ref="K6:K7"/>
    <mergeCell ref="H13:J13"/>
    <mergeCell ref="I6:I7"/>
    <mergeCell ref="A3:K3"/>
    <mergeCell ref="A4:K4"/>
    <mergeCell ref="A9:K9"/>
    <mergeCell ref="B6:B7"/>
    <mergeCell ref="C6:C7"/>
    <mergeCell ref="J6:J7"/>
    <mergeCell ref="H12:J12"/>
    <mergeCell ref="A15:E15"/>
    <mergeCell ref="G6:G7"/>
    <mergeCell ref="D6:D7"/>
    <mergeCell ref="A13:E13"/>
    <mergeCell ref="F6:F7"/>
    <mergeCell ref="A6:A7"/>
    <mergeCell ref="A11:E11"/>
    <mergeCell ref="H15:J15"/>
    <mergeCell ref="H11:J11"/>
    <mergeCell ref="B36:E36"/>
    <mergeCell ref="H36:J36"/>
    <mergeCell ref="H16:J16"/>
    <mergeCell ref="B37:E37"/>
    <mergeCell ref="H35:J35"/>
    <mergeCell ref="A16:E16"/>
    <mergeCell ref="H37:J37"/>
    <mergeCell ref="A35:E35"/>
    <mergeCell ref="H6:H7"/>
    <mergeCell ref="A12:E12"/>
    <mergeCell ref="E6:E7"/>
    <mergeCell ref="A40:E40"/>
    <mergeCell ref="H40:J40"/>
    <mergeCell ref="A14:E14"/>
    <mergeCell ref="H14:J14"/>
    <mergeCell ref="H39:J39"/>
    <mergeCell ref="B38:E38"/>
    <mergeCell ref="B39:E39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63"/>
  <sheetViews>
    <sheetView zoomScale="150" zoomScaleNormal="150" zoomScalePageLayoutView="0" workbookViewId="0" topLeftCell="A15">
      <selection activeCell="G26" sqref="G26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7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201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138</v>
      </c>
      <c r="I2" s="10"/>
      <c r="J2" s="10"/>
      <c r="K2" s="10"/>
    </row>
    <row r="3" spans="1:12" ht="12.75" customHeight="1">
      <c r="A3" s="253" t="s">
        <v>117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39"/>
    </row>
    <row r="4" spans="1:11" ht="12.75" customHeight="1">
      <c r="A4" s="253" t="s">
        <v>200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55" t="s">
        <v>9</v>
      </c>
      <c r="B6" s="257" t="s">
        <v>0</v>
      </c>
      <c r="C6" s="257" t="s">
        <v>1</v>
      </c>
      <c r="D6" s="257" t="s">
        <v>10</v>
      </c>
      <c r="E6" s="257" t="s">
        <v>11</v>
      </c>
      <c r="F6" s="257" t="s">
        <v>12</v>
      </c>
      <c r="G6" s="311" t="s">
        <v>13</v>
      </c>
      <c r="H6" s="257" t="s">
        <v>14</v>
      </c>
      <c r="I6" s="257" t="s">
        <v>15</v>
      </c>
      <c r="J6" s="257" t="s">
        <v>16</v>
      </c>
      <c r="K6" s="259" t="s">
        <v>2</v>
      </c>
    </row>
    <row r="7" spans="1:11" ht="13.5" thickBot="1">
      <c r="A7" s="256"/>
      <c r="B7" s="258"/>
      <c r="C7" s="258"/>
      <c r="D7" s="258"/>
      <c r="E7" s="258"/>
      <c r="F7" s="258"/>
      <c r="G7" s="312"/>
      <c r="H7" s="258"/>
      <c r="I7" s="258"/>
      <c r="J7" s="258"/>
      <c r="K7" s="260"/>
    </row>
    <row r="8" spans="1:11" ht="13.5" thickBot="1">
      <c r="A8" s="38"/>
      <c r="B8" s="38"/>
      <c r="C8" s="38"/>
      <c r="D8" s="38"/>
      <c r="E8" s="38"/>
      <c r="F8" s="38"/>
      <c r="G8" s="138"/>
      <c r="H8" s="38"/>
      <c r="I8" s="38"/>
      <c r="J8" s="38"/>
      <c r="K8" s="38"/>
    </row>
    <row r="9" spans="1:11" ht="21" customHeight="1" thickBot="1">
      <c r="A9" s="261" t="s">
        <v>64</v>
      </c>
      <c r="B9" s="262"/>
      <c r="C9" s="262"/>
      <c r="D9" s="262"/>
      <c r="E9" s="262"/>
      <c r="F9" s="262"/>
      <c r="G9" s="262"/>
      <c r="H9" s="262"/>
      <c r="I9" s="262"/>
      <c r="J9" s="262"/>
      <c r="K9" s="263"/>
    </row>
    <row r="10" spans="1:11" s="14" customFormat="1" ht="12.75" customHeight="1">
      <c r="A10" s="15"/>
      <c r="B10" s="16"/>
      <c r="C10" s="16" t="s">
        <v>17</v>
      </c>
      <c r="D10" s="17">
        <v>8881.03</v>
      </c>
      <c r="E10" s="18" t="s">
        <v>6</v>
      </c>
      <c r="F10" s="19"/>
      <c r="G10" s="139"/>
      <c r="H10" s="11" t="s">
        <v>8</v>
      </c>
      <c r="I10" s="12">
        <v>1.2</v>
      </c>
      <c r="J10" s="13" t="s">
        <v>7</v>
      </c>
      <c r="K10" s="20"/>
    </row>
    <row r="11" spans="1:11" s="14" customFormat="1" ht="13.5" customHeight="1">
      <c r="A11" s="272" t="s">
        <v>118</v>
      </c>
      <c r="B11" s="273"/>
      <c r="C11" s="273"/>
      <c r="D11" s="273"/>
      <c r="E11" s="273"/>
      <c r="F11" s="42">
        <v>79135.85</v>
      </c>
      <c r="G11" s="42">
        <v>34794.45</v>
      </c>
      <c r="H11" s="270"/>
      <c r="I11" s="271"/>
      <c r="J11" s="271"/>
      <c r="K11" s="55"/>
    </row>
    <row r="12" spans="1:11" s="14" customFormat="1" ht="13.5" customHeight="1">
      <c r="A12" s="268" t="s">
        <v>34</v>
      </c>
      <c r="B12" s="269"/>
      <c r="C12" s="269"/>
      <c r="D12" s="269"/>
      <c r="E12" s="269"/>
      <c r="F12" s="42">
        <f>D10*I10*12</f>
        <v>127886.83200000001</v>
      </c>
      <c r="G12" s="42">
        <f>27823.96+48669.12+51393.76</f>
        <v>127886.84</v>
      </c>
      <c r="H12" s="270"/>
      <c r="I12" s="271"/>
      <c r="J12" s="271"/>
      <c r="K12" s="55"/>
    </row>
    <row r="13" spans="1:11" s="14" customFormat="1" ht="13.5" customHeight="1">
      <c r="A13" s="268" t="s">
        <v>50</v>
      </c>
      <c r="B13" s="269"/>
      <c r="C13" s="269"/>
      <c r="D13" s="269"/>
      <c r="E13" s="269"/>
      <c r="F13" s="42">
        <f>-(D10*12*0)</f>
        <v>0</v>
      </c>
      <c r="G13" s="42">
        <v>0</v>
      </c>
      <c r="H13" s="270"/>
      <c r="I13" s="271"/>
      <c r="J13" s="271"/>
      <c r="K13" s="55"/>
    </row>
    <row r="14" spans="1:11" s="41" customFormat="1" ht="12.75" customHeight="1">
      <c r="A14" s="272" t="s">
        <v>55</v>
      </c>
      <c r="B14" s="273"/>
      <c r="C14" s="273"/>
      <c r="D14" s="273"/>
      <c r="E14" s="273"/>
      <c r="F14" s="42">
        <v>0</v>
      </c>
      <c r="G14" s="42">
        <f>2126.96</f>
        <v>2126.96</v>
      </c>
      <c r="H14" s="270"/>
      <c r="I14" s="271"/>
      <c r="J14" s="271"/>
      <c r="K14" s="55"/>
    </row>
    <row r="15" spans="1:11" s="14" customFormat="1" ht="13.5" customHeight="1">
      <c r="A15" s="268" t="s">
        <v>104</v>
      </c>
      <c r="B15" s="269"/>
      <c r="C15" s="269"/>
      <c r="D15" s="269"/>
      <c r="E15" s="269"/>
      <c r="F15" s="42">
        <v>0</v>
      </c>
      <c r="G15" s="42">
        <v>0</v>
      </c>
      <c r="H15" s="270"/>
      <c r="I15" s="271"/>
      <c r="J15" s="271"/>
      <c r="K15" s="55"/>
    </row>
    <row r="16" spans="1:11" s="40" customFormat="1" ht="12.75" customHeight="1" thickBot="1">
      <c r="A16" s="287" t="s">
        <v>107</v>
      </c>
      <c r="B16" s="288"/>
      <c r="C16" s="288"/>
      <c r="D16" s="288"/>
      <c r="E16" s="288"/>
      <c r="F16" s="46">
        <f>F11+F12+F13+F14+F15</f>
        <v>207022.68200000003</v>
      </c>
      <c r="G16" s="46">
        <f>G11+G12+G13+G14+G15</f>
        <v>164808.24999999997</v>
      </c>
      <c r="H16" s="276"/>
      <c r="I16" s="277"/>
      <c r="J16" s="277"/>
      <c r="K16" s="56"/>
    </row>
    <row r="17" spans="1:11" s="86" customFormat="1" ht="13.5" customHeight="1" thickBot="1">
      <c r="A17" s="58"/>
      <c r="B17" s="58"/>
      <c r="C17" s="58"/>
      <c r="D17" s="58"/>
      <c r="E17" s="58"/>
      <c r="F17" s="59"/>
      <c r="G17" s="59"/>
      <c r="H17" s="61"/>
      <c r="I17" s="64"/>
      <c r="J17" s="64"/>
      <c r="K17" s="62"/>
    </row>
    <row r="18" spans="1:11" ht="12.75">
      <c r="A18" s="120">
        <v>1</v>
      </c>
      <c r="B18" s="97" t="s">
        <v>135</v>
      </c>
      <c r="C18" s="70" t="s">
        <v>208</v>
      </c>
      <c r="D18" s="89"/>
      <c r="E18" s="92"/>
      <c r="F18" s="98">
        <v>15000</v>
      </c>
      <c r="G18" s="246">
        <f>16165.45</f>
        <v>16165.45</v>
      </c>
      <c r="H18" s="92" t="s">
        <v>22</v>
      </c>
      <c r="I18" s="92">
        <v>2013</v>
      </c>
      <c r="J18" s="89" t="s">
        <v>3</v>
      </c>
      <c r="K18" s="224"/>
    </row>
    <row r="19" spans="1:11" ht="12.75">
      <c r="A19" s="30">
        <v>2</v>
      </c>
      <c r="B19" s="22" t="s">
        <v>32</v>
      </c>
      <c r="C19" s="52" t="s">
        <v>133</v>
      </c>
      <c r="D19" s="2" t="s">
        <v>116</v>
      </c>
      <c r="E19" s="2"/>
      <c r="F19" s="3">
        <v>15000</v>
      </c>
      <c r="G19" s="213">
        <v>13309.92</v>
      </c>
      <c r="H19" s="4">
        <v>2013</v>
      </c>
      <c r="I19" s="4">
        <v>2013</v>
      </c>
      <c r="J19" s="26" t="s">
        <v>3</v>
      </c>
      <c r="K19" s="225"/>
    </row>
    <row r="20" spans="1:11" ht="12.75">
      <c r="A20" s="30">
        <v>3</v>
      </c>
      <c r="B20" s="31" t="s">
        <v>134</v>
      </c>
      <c r="C20" s="52" t="s">
        <v>133</v>
      </c>
      <c r="D20" s="4"/>
      <c r="E20" s="4"/>
      <c r="F20" s="32">
        <v>9000</v>
      </c>
      <c r="G20" s="213">
        <v>8873.28</v>
      </c>
      <c r="H20" s="4">
        <v>2013</v>
      </c>
      <c r="I20" s="4">
        <v>2013</v>
      </c>
      <c r="J20" s="35" t="s">
        <v>3</v>
      </c>
      <c r="K20" s="226"/>
    </row>
    <row r="21" spans="1:11" ht="12.75">
      <c r="A21" s="29">
        <v>4</v>
      </c>
      <c r="B21" s="51" t="s">
        <v>135</v>
      </c>
      <c r="C21" s="52" t="s">
        <v>133</v>
      </c>
      <c r="D21" s="35"/>
      <c r="E21" s="4"/>
      <c r="F21" s="65">
        <v>15000</v>
      </c>
      <c r="G21" s="213">
        <v>15528.24</v>
      </c>
      <c r="H21" s="4">
        <v>2013</v>
      </c>
      <c r="I21" s="4">
        <v>2013</v>
      </c>
      <c r="J21" s="35" t="s">
        <v>3</v>
      </c>
      <c r="K21" s="226"/>
    </row>
    <row r="22" spans="1:11" ht="12.75">
      <c r="A22" s="29">
        <v>5</v>
      </c>
      <c r="B22" s="51"/>
      <c r="C22" s="52" t="s">
        <v>125</v>
      </c>
      <c r="D22" s="2" t="s">
        <v>127</v>
      </c>
      <c r="E22" s="2"/>
      <c r="F22" s="3">
        <v>6000</v>
      </c>
      <c r="G22" s="213">
        <f>1107*3</f>
        <v>3321</v>
      </c>
      <c r="H22" s="4" t="s">
        <v>22</v>
      </c>
      <c r="I22" s="4">
        <v>2013</v>
      </c>
      <c r="J22" s="35" t="s">
        <v>3</v>
      </c>
      <c r="K22" s="226"/>
    </row>
    <row r="23" spans="1:11" ht="12.75">
      <c r="A23" s="29">
        <v>6</v>
      </c>
      <c r="B23" s="28"/>
      <c r="C23" s="22" t="s">
        <v>21</v>
      </c>
      <c r="D23" s="2"/>
      <c r="E23" s="2"/>
      <c r="F23" s="3">
        <v>30000</v>
      </c>
      <c r="G23" s="214"/>
      <c r="H23" s="2">
        <v>2013</v>
      </c>
      <c r="I23" s="2"/>
      <c r="J23" s="26" t="s">
        <v>4</v>
      </c>
      <c r="K23" s="225"/>
    </row>
    <row r="24" spans="1:11" ht="12.75">
      <c r="A24" s="82">
        <v>7</v>
      </c>
      <c r="B24" s="222"/>
      <c r="C24" s="199" t="s">
        <v>149</v>
      </c>
      <c r="D24" s="200"/>
      <c r="E24" s="201"/>
      <c r="F24" s="202"/>
      <c r="G24" s="247">
        <f>420.4</f>
        <v>420.4</v>
      </c>
      <c r="H24" s="84"/>
      <c r="I24" s="95">
        <v>2013</v>
      </c>
      <c r="J24" s="216" t="s">
        <v>3</v>
      </c>
      <c r="K24" s="227"/>
    </row>
    <row r="25" spans="1:11" ht="12.75">
      <c r="A25" s="29">
        <v>8</v>
      </c>
      <c r="B25" s="163" t="s">
        <v>206</v>
      </c>
      <c r="C25" s="166" t="s">
        <v>205</v>
      </c>
      <c r="D25" s="164"/>
      <c r="E25" s="158"/>
      <c r="F25" s="165"/>
      <c r="G25" s="208">
        <f>2916+378+2106</f>
        <v>5400</v>
      </c>
      <c r="H25" s="4"/>
      <c r="I25" s="95">
        <v>2013</v>
      </c>
      <c r="J25" s="155" t="s">
        <v>3</v>
      </c>
      <c r="K25" s="228"/>
    </row>
    <row r="26" spans="1:11" ht="12.75">
      <c r="A26" s="29">
        <v>9</v>
      </c>
      <c r="B26" s="163" t="s">
        <v>206</v>
      </c>
      <c r="C26" s="166" t="s">
        <v>198</v>
      </c>
      <c r="D26" s="35"/>
      <c r="E26" s="4"/>
      <c r="F26" s="65"/>
      <c r="G26" s="208">
        <f>12169.63+7983.81</f>
        <v>20153.44</v>
      </c>
      <c r="H26" s="4"/>
      <c r="I26" s="95">
        <v>2013</v>
      </c>
      <c r="J26" s="164" t="s">
        <v>3</v>
      </c>
      <c r="K26" s="229"/>
    </row>
    <row r="27" spans="1:11" ht="12.75">
      <c r="A27" s="29">
        <v>10</v>
      </c>
      <c r="B27" s="163" t="s">
        <v>228</v>
      </c>
      <c r="C27" s="166" t="s">
        <v>175</v>
      </c>
      <c r="D27" s="164"/>
      <c r="E27" s="158"/>
      <c r="F27" s="165"/>
      <c r="G27" s="208">
        <f>1975.17+1975.15</f>
        <v>3950.32</v>
      </c>
      <c r="H27" s="158"/>
      <c r="I27" s="95">
        <v>2013</v>
      </c>
      <c r="J27" s="164" t="s">
        <v>3</v>
      </c>
      <c r="K27" s="229"/>
    </row>
    <row r="28" spans="1:11" ht="12.75">
      <c r="A28" s="29">
        <v>11</v>
      </c>
      <c r="B28" s="163" t="s">
        <v>32</v>
      </c>
      <c r="C28" s="166" t="s">
        <v>207</v>
      </c>
      <c r="D28" s="35"/>
      <c r="E28" s="4"/>
      <c r="F28" s="65"/>
      <c r="G28" s="208">
        <v>33434.31</v>
      </c>
      <c r="H28" s="4"/>
      <c r="I28" s="95">
        <v>2013</v>
      </c>
      <c r="J28" s="164" t="s">
        <v>3</v>
      </c>
      <c r="K28" s="229" t="s">
        <v>209</v>
      </c>
    </row>
    <row r="29" spans="1:11" ht="12.75">
      <c r="A29" s="29">
        <v>12</v>
      </c>
      <c r="B29" s="163"/>
      <c r="C29" s="53"/>
      <c r="D29" s="35"/>
      <c r="E29" s="4"/>
      <c r="F29" s="65"/>
      <c r="G29" s="32"/>
      <c r="H29" s="4"/>
      <c r="I29" s="4"/>
      <c r="J29" s="35"/>
      <c r="K29" s="226"/>
    </row>
    <row r="30" spans="1:11" ht="12.75">
      <c r="A30" s="29">
        <v>13</v>
      </c>
      <c r="B30" s="51"/>
      <c r="C30" s="53"/>
      <c r="D30" s="35"/>
      <c r="E30" s="4"/>
      <c r="F30" s="65"/>
      <c r="G30" s="32"/>
      <c r="H30" s="4"/>
      <c r="I30" s="4"/>
      <c r="J30" s="35"/>
      <c r="K30" s="226"/>
    </row>
    <row r="31" spans="1:11" ht="12.75">
      <c r="A31" s="29">
        <v>14</v>
      </c>
      <c r="B31" s="51"/>
      <c r="C31" s="53"/>
      <c r="D31" s="35"/>
      <c r="E31" s="4"/>
      <c r="F31" s="65"/>
      <c r="G31" s="32"/>
      <c r="H31" s="4"/>
      <c r="I31" s="4"/>
      <c r="J31" s="35"/>
      <c r="K31" s="226"/>
    </row>
    <row r="32" spans="1:11" ht="12.75">
      <c r="A32" s="29">
        <v>15</v>
      </c>
      <c r="B32" s="28"/>
      <c r="C32" s="52"/>
      <c r="D32" s="26"/>
      <c r="E32" s="2"/>
      <c r="F32" s="66"/>
      <c r="G32" s="3"/>
      <c r="H32" s="2"/>
      <c r="I32" s="2"/>
      <c r="J32" s="26"/>
      <c r="K32" s="225"/>
    </row>
    <row r="33" spans="1:11" ht="13.5" thickBot="1">
      <c r="A33" s="104">
        <v>16</v>
      </c>
      <c r="B33" s="105"/>
      <c r="C33" s="106"/>
      <c r="D33" s="107"/>
      <c r="E33" s="108"/>
      <c r="F33" s="109"/>
      <c r="G33" s="110"/>
      <c r="H33" s="108"/>
      <c r="I33" s="108"/>
      <c r="J33" s="107"/>
      <c r="K33" s="230"/>
    </row>
    <row r="34" spans="1:11" ht="13.5" thickBot="1">
      <c r="A34" s="79"/>
      <c r="B34" s="80"/>
      <c r="C34" s="44"/>
      <c r="D34" s="81"/>
      <c r="E34" s="21"/>
      <c r="F34" s="77"/>
      <c r="G34" s="37"/>
      <c r="H34" s="21"/>
      <c r="I34" s="21"/>
      <c r="J34" s="81"/>
      <c r="K34" s="48"/>
    </row>
    <row r="35" spans="1:11" s="14" customFormat="1" ht="13.5" customHeight="1">
      <c r="A35" s="264" t="s">
        <v>53</v>
      </c>
      <c r="B35" s="265"/>
      <c r="C35" s="265"/>
      <c r="D35" s="265"/>
      <c r="E35" s="265"/>
      <c r="F35" s="45">
        <f>SUM(F18:F33)</f>
        <v>90000</v>
      </c>
      <c r="G35" s="45">
        <f>SUM(G18:G33)</f>
        <v>120556.36</v>
      </c>
      <c r="H35" s="266"/>
      <c r="I35" s="267"/>
      <c r="J35" s="267"/>
      <c r="K35" s="94"/>
    </row>
    <row r="36" spans="1:11" s="14" customFormat="1" ht="13.5" customHeight="1">
      <c r="A36" s="112"/>
      <c r="B36" s="278" t="s">
        <v>24</v>
      </c>
      <c r="C36" s="279"/>
      <c r="D36" s="280"/>
      <c r="E36" s="281"/>
      <c r="F36" s="113"/>
      <c r="G36" s="113"/>
      <c r="H36" s="282"/>
      <c r="I36" s="283"/>
      <c r="J36" s="283"/>
      <c r="K36" s="54"/>
    </row>
    <row r="37" spans="1:11" s="14" customFormat="1" ht="13.5" customHeight="1">
      <c r="A37" s="112"/>
      <c r="B37" s="278"/>
      <c r="C37" s="284"/>
      <c r="D37" s="280"/>
      <c r="E37" s="281"/>
      <c r="F37" s="114"/>
      <c r="G37" s="114"/>
      <c r="H37" s="270"/>
      <c r="I37" s="279"/>
      <c r="J37" s="279"/>
      <c r="K37" s="55"/>
    </row>
    <row r="38" spans="1:11" s="14" customFormat="1" ht="13.5" customHeight="1">
      <c r="A38" s="115"/>
      <c r="B38" s="278" t="s">
        <v>4</v>
      </c>
      <c r="C38" s="293"/>
      <c r="D38" s="280"/>
      <c r="E38" s="281"/>
      <c r="F38" s="43">
        <f>F23</f>
        <v>30000</v>
      </c>
      <c r="G38" s="43">
        <f>G23</f>
        <v>0</v>
      </c>
      <c r="H38" s="294"/>
      <c r="I38" s="295"/>
      <c r="J38" s="295"/>
      <c r="K38" s="57"/>
    </row>
    <row r="39" spans="1:11" s="14" customFormat="1" ht="13.5" customHeight="1">
      <c r="A39" s="115"/>
      <c r="B39" s="291" t="s">
        <v>3</v>
      </c>
      <c r="C39" s="291"/>
      <c r="D39" s="292"/>
      <c r="E39" s="292"/>
      <c r="F39" s="43">
        <f>F35-F37-F38</f>
        <v>60000</v>
      </c>
      <c r="G39" s="43">
        <f>G35-G37-G38</f>
        <v>120556.36</v>
      </c>
      <c r="H39" s="289"/>
      <c r="I39" s="290"/>
      <c r="J39" s="290"/>
      <c r="K39" s="36"/>
    </row>
    <row r="40" spans="1:11" s="14" customFormat="1" ht="13.5" customHeight="1" thickBot="1">
      <c r="A40" s="274" t="s">
        <v>121</v>
      </c>
      <c r="B40" s="275"/>
      <c r="C40" s="275"/>
      <c r="D40" s="275"/>
      <c r="E40" s="275"/>
      <c r="F40" s="47">
        <f>F16-F35</f>
        <v>117022.68200000003</v>
      </c>
      <c r="G40" s="47">
        <f>G16-G35</f>
        <v>44251.88999999997</v>
      </c>
      <c r="H40" s="276"/>
      <c r="I40" s="277"/>
      <c r="J40" s="277"/>
      <c r="K40" s="56"/>
    </row>
    <row r="41" spans="1:11" s="63" customFormat="1" ht="13.5" customHeight="1">
      <c r="A41" s="58"/>
      <c r="B41" s="58"/>
      <c r="C41" s="58"/>
      <c r="D41" s="58"/>
      <c r="E41" s="58"/>
      <c r="F41" s="59"/>
      <c r="G41" s="59"/>
      <c r="H41" s="61"/>
      <c r="I41" s="64"/>
      <c r="J41" s="64"/>
      <c r="K41" s="62"/>
    </row>
    <row r="42" spans="1:11" s="10" customFormat="1" ht="11.25">
      <c r="A42" s="21"/>
      <c r="B42" s="49"/>
      <c r="C42" s="21"/>
      <c r="D42" s="21"/>
      <c r="E42" s="21"/>
      <c r="F42" s="50"/>
      <c r="G42" s="37"/>
      <c r="H42" s="21"/>
      <c r="I42" s="21"/>
      <c r="J42" s="21"/>
      <c r="K42" s="23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  <row r="63" ht="12.75">
      <c r="K63" s="1"/>
    </row>
  </sheetData>
  <sheetProtection/>
  <mergeCells count="38">
    <mergeCell ref="K6:K7"/>
    <mergeCell ref="A9:K9"/>
    <mergeCell ref="A14:E14"/>
    <mergeCell ref="H14:J14"/>
    <mergeCell ref="G6:G7"/>
    <mergeCell ref="J6:J7"/>
    <mergeCell ref="A11:E11"/>
    <mergeCell ref="H11:J11"/>
    <mergeCell ref="A12:E12"/>
    <mergeCell ref="H12:J12"/>
    <mergeCell ref="A13:E13"/>
    <mergeCell ref="A35:E35"/>
    <mergeCell ref="A15:E15"/>
    <mergeCell ref="H15:J15"/>
    <mergeCell ref="A16:E16"/>
    <mergeCell ref="H16:J16"/>
    <mergeCell ref="H35:J35"/>
    <mergeCell ref="H13:J13"/>
    <mergeCell ref="A3:K3"/>
    <mergeCell ref="A4:K4"/>
    <mergeCell ref="A6:A7"/>
    <mergeCell ref="B6:B7"/>
    <mergeCell ref="C6:C7"/>
    <mergeCell ref="D6:D7"/>
    <mergeCell ref="E6:E7"/>
    <mergeCell ref="F6:F7"/>
    <mergeCell ref="I6:I7"/>
    <mergeCell ref="H6:H7"/>
    <mergeCell ref="B36:E36"/>
    <mergeCell ref="H36:J36"/>
    <mergeCell ref="H39:J39"/>
    <mergeCell ref="A40:E40"/>
    <mergeCell ref="H40:J40"/>
    <mergeCell ref="B38:E38"/>
    <mergeCell ref="H38:J38"/>
    <mergeCell ref="B39:E39"/>
    <mergeCell ref="B37:E37"/>
    <mergeCell ref="H37:J3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="150" zoomScaleNormal="150" zoomScalePageLayoutView="0" workbookViewId="0" topLeftCell="A4">
      <selection activeCell="G12" sqref="G12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7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201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138</v>
      </c>
      <c r="I2" s="10"/>
      <c r="J2" s="10"/>
      <c r="K2" s="10"/>
    </row>
    <row r="3" spans="1:12" ht="12.75" customHeight="1">
      <c r="A3" s="253" t="s">
        <v>117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39"/>
    </row>
    <row r="4" spans="1:11" ht="12.75" customHeight="1">
      <c r="A4" s="253" t="s">
        <v>200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55" t="s">
        <v>9</v>
      </c>
      <c r="B6" s="257" t="s">
        <v>0</v>
      </c>
      <c r="C6" s="257" t="s">
        <v>1</v>
      </c>
      <c r="D6" s="257" t="s">
        <v>10</v>
      </c>
      <c r="E6" s="257" t="s">
        <v>11</v>
      </c>
      <c r="F6" s="257" t="s">
        <v>12</v>
      </c>
      <c r="G6" s="311" t="s">
        <v>13</v>
      </c>
      <c r="H6" s="257" t="s">
        <v>14</v>
      </c>
      <c r="I6" s="257" t="s">
        <v>15</v>
      </c>
      <c r="J6" s="257" t="s">
        <v>16</v>
      </c>
      <c r="K6" s="259" t="s">
        <v>2</v>
      </c>
    </row>
    <row r="7" spans="1:11" ht="13.5" thickBot="1">
      <c r="A7" s="256"/>
      <c r="B7" s="258"/>
      <c r="C7" s="258"/>
      <c r="D7" s="258"/>
      <c r="E7" s="258"/>
      <c r="F7" s="258"/>
      <c r="G7" s="312"/>
      <c r="H7" s="258"/>
      <c r="I7" s="258"/>
      <c r="J7" s="258"/>
      <c r="K7" s="260"/>
    </row>
    <row r="8" spans="1:11" ht="13.5" thickBot="1">
      <c r="A8" s="38"/>
      <c r="B8" s="38"/>
      <c r="C8" s="38"/>
      <c r="D8" s="38"/>
      <c r="E8" s="38"/>
      <c r="F8" s="38"/>
      <c r="G8" s="138"/>
      <c r="H8" s="38"/>
      <c r="I8" s="38"/>
      <c r="J8" s="38"/>
      <c r="K8" s="38"/>
    </row>
    <row r="9" spans="1:11" ht="21" customHeight="1" thickBot="1">
      <c r="A9" s="261" t="s">
        <v>65</v>
      </c>
      <c r="B9" s="262"/>
      <c r="C9" s="262"/>
      <c r="D9" s="262"/>
      <c r="E9" s="262"/>
      <c r="F9" s="262"/>
      <c r="G9" s="262"/>
      <c r="H9" s="262"/>
      <c r="I9" s="262"/>
      <c r="J9" s="262"/>
      <c r="K9" s="263"/>
    </row>
    <row r="10" spans="1:11" s="14" customFormat="1" ht="12.75" customHeight="1">
      <c r="A10" s="15"/>
      <c r="B10" s="16"/>
      <c r="C10" s="16" t="s">
        <v>17</v>
      </c>
      <c r="D10" s="17">
        <v>5359.66</v>
      </c>
      <c r="E10" s="18" t="s">
        <v>6</v>
      </c>
      <c r="F10" s="19"/>
      <c r="G10" s="139"/>
      <c r="H10" s="11" t="s">
        <v>8</v>
      </c>
      <c r="I10" s="12">
        <v>1.4</v>
      </c>
      <c r="J10" s="13" t="s">
        <v>7</v>
      </c>
      <c r="K10" s="20"/>
    </row>
    <row r="11" spans="1:11" s="14" customFormat="1" ht="13.5" customHeight="1">
      <c r="A11" s="272" t="s">
        <v>118</v>
      </c>
      <c r="B11" s="273"/>
      <c r="C11" s="273"/>
      <c r="D11" s="273"/>
      <c r="E11" s="273"/>
      <c r="F11" s="42">
        <v>39930.06</v>
      </c>
      <c r="G11" s="42">
        <v>44962.54</v>
      </c>
      <c r="H11" s="270"/>
      <c r="I11" s="271"/>
      <c r="J11" s="271"/>
      <c r="K11" s="55"/>
    </row>
    <row r="12" spans="1:11" s="14" customFormat="1" ht="13.5" customHeight="1">
      <c r="A12" s="268" t="s">
        <v>34</v>
      </c>
      <c r="B12" s="269"/>
      <c r="C12" s="269"/>
      <c r="D12" s="269"/>
      <c r="E12" s="269"/>
      <c r="F12" s="42">
        <f>D10*I10*12</f>
        <v>90042.288</v>
      </c>
      <c r="G12" s="42">
        <f>83611+6431.29</f>
        <v>90042.29</v>
      </c>
      <c r="H12" s="270"/>
      <c r="I12" s="271"/>
      <c r="J12" s="271"/>
      <c r="K12" s="55"/>
    </row>
    <row r="13" spans="1:11" s="14" customFormat="1" ht="13.5" customHeight="1">
      <c r="A13" s="268" t="s">
        <v>50</v>
      </c>
      <c r="B13" s="269"/>
      <c r="C13" s="269"/>
      <c r="D13" s="269"/>
      <c r="E13" s="269"/>
      <c r="F13" s="42">
        <f>-(D10*12*0)</f>
        <v>0</v>
      </c>
      <c r="G13" s="42">
        <v>0</v>
      </c>
      <c r="H13" s="270"/>
      <c r="I13" s="271"/>
      <c r="J13" s="271"/>
      <c r="K13" s="55"/>
    </row>
    <row r="14" spans="1:11" s="41" customFormat="1" ht="12.75" customHeight="1">
      <c r="A14" s="272" t="s">
        <v>55</v>
      </c>
      <c r="B14" s="273"/>
      <c r="C14" s="273"/>
      <c r="D14" s="273"/>
      <c r="E14" s="273"/>
      <c r="F14" s="42">
        <v>0</v>
      </c>
      <c r="G14" s="42">
        <v>441.31</v>
      </c>
      <c r="H14" s="270"/>
      <c r="I14" s="271"/>
      <c r="J14" s="271"/>
      <c r="K14" s="55"/>
    </row>
    <row r="15" spans="1:11" s="14" customFormat="1" ht="13.5" customHeight="1">
      <c r="A15" s="268" t="s">
        <v>104</v>
      </c>
      <c r="B15" s="269"/>
      <c r="C15" s="269"/>
      <c r="D15" s="269"/>
      <c r="E15" s="269"/>
      <c r="F15" s="42">
        <v>0</v>
      </c>
      <c r="G15" s="42">
        <v>0</v>
      </c>
      <c r="H15" s="270"/>
      <c r="I15" s="271"/>
      <c r="J15" s="271"/>
      <c r="K15" s="55"/>
    </row>
    <row r="16" spans="1:11" s="40" customFormat="1" ht="12.75" customHeight="1" thickBot="1">
      <c r="A16" s="287" t="s">
        <v>107</v>
      </c>
      <c r="B16" s="288"/>
      <c r="C16" s="288"/>
      <c r="D16" s="288"/>
      <c r="E16" s="288"/>
      <c r="F16" s="46">
        <f>F11+F12+F13+F14+F15</f>
        <v>129972.348</v>
      </c>
      <c r="G16" s="46">
        <f>G11+G12+G13+G14+G15</f>
        <v>135446.13999999998</v>
      </c>
      <c r="H16" s="276"/>
      <c r="I16" s="277"/>
      <c r="J16" s="277"/>
      <c r="K16" s="56"/>
    </row>
    <row r="17" spans="1:11" s="86" customFormat="1" ht="13.5" customHeight="1" thickBot="1">
      <c r="A17" s="58"/>
      <c r="B17" s="58"/>
      <c r="C17" s="58"/>
      <c r="D17" s="58"/>
      <c r="E17" s="58"/>
      <c r="F17" s="59"/>
      <c r="G17" s="59"/>
      <c r="H17" s="61"/>
      <c r="I17" s="64"/>
      <c r="J17" s="64"/>
      <c r="K17" s="62"/>
    </row>
    <row r="18" spans="1:11" ht="12.75">
      <c r="A18" s="96">
        <v>1</v>
      </c>
      <c r="B18" s="88" t="s">
        <v>18</v>
      </c>
      <c r="C18" s="97" t="s">
        <v>112</v>
      </c>
      <c r="D18" s="92"/>
      <c r="E18" s="92"/>
      <c r="F18" s="98">
        <v>40000</v>
      </c>
      <c r="G18" s="246">
        <v>33897.96</v>
      </c>
      <c r="H18" s="92">
        <v>2013</v>
      </c>
      <c r="I18" s="92">
        <v>2013</v>
      </c>
      <c r="J18" s="90" t="s">
        <v>3</v>
      </c>
      <c r="K18" s="93"/>
    </row>
    <row r="19" spans="1:11" ht="12.75">
      <c r="A19" s="30">
        <v>2</v>
      </c>
      <c r="B19" s="22" t="s">
        <v>18</v>
      </c>
      <c r="C19" s="31" t="s">
        <v>122</v>
      </c>
      <c r="D19" s="4"/>
      <c r="E19" s="4"/>
      <c r="F19" s="32">
        <v>50000</v>
      </c>
      <c r="G19" s="213">
        <v>29034.77</v>
      </c>
      <c r="H19" s="4">
        <v>2013</v>
      </c>
      <c r="I19" s="4">
        <v>2013</v>
      </c>
      <c r="J19" s="4" t="s">
        <v>3</v>
      </c>
      <c r="K19" s="33"/>
    </row>
    <row r="20" spans="1:11" ht="12.75">
      <c r="A20" s="30">
        <v>3</v>
      </c>
      <c r="B20" s="22" t="s">
        <v>18</v>
      </c>
      <c r="C20" s="31" t="s">
        <v>128</v>
      </c>
      <c r="D20" s="4" t="s">
        <v>129</v>
      </c>
      <c r="E20" s="4"/>
      <c r="F20" s="32">
        <v>2000</v>
      </c>
      <c r="G20" s="213">
        <v>1107</v>
      </c>
      <c r="H20" s="4">
        <v>2013</v>
      </c>
      <c r="I20" s="4">
        <v>2013</v>
      </c>
      <c r="J20" s="35" t="s">
        <v>3</v>
      </c>
      <c r="K20" s="33"/>
    </row>
    <row r="21" spans="1:11" ht="12.75">
      <c r="A21" s="29">
        <v>4</v>
      </c>
      <c r="B21" s="51"/>
      <c r="C21" s="31" t="s">
        <v>21</v>
      </c>
      <c r="D21" s="4"/>
      <c r="E21" s="4"/>
      <c r="F21" s="32">
        <v>20000</v>
      </c>
      <c r="G21" s="213"/>
      <c r="H21" s="4">
        <v>2013</v>
      </c>
      <c r="I21" s="4"/>
      <c r="J21" s="35" t="s">
        <v>4</v>
      </c>
      <c r="K21" s="25"/>
    </row>
    <row r="22" spans="1:11" ht="12.75">
      <c r="A22" s="29">
        <v>5</v>
      </c>
      <c r="B22" s="163"/>
      <c r="C22" s="166" t="s">
        <v>149</v>
      </c>
      <c r="D22" s="164"/>
      <c r="E22" s="158"/>
      <c r="F22" s="165"/>
      <c r="G22" s="208">
        <f>882</f>
        <v>882</v>
      </c>
      <c r="H22" s="158"/>
      <c r="I22" s="158">
        <v>2013</v>
      </c>
      <c r="J22" s="164" t="s">
        <v>3</v>
      </c>
      <c r="K22" s="198"/>
    </row>
    <row r="23" spans="1:11" ht="12.75">
      <c r="A23" s="29">
        <v>6</v>
      </c>
      <c r="B23" s="154"/>
      <c r="C23" s="173" t="s">
        <v>199</v>
      </c>
      <c r="D23" s="155"/>
      <c r="E23" s="95"/>
      <c r="F23" s="169"/>
      <c r="G23" s="221">
        <v>16160.68</v>
      </c>
      <c r="H23" s="95"/>
      <c r="I23" s="95">
        <v>2013</v>
      </c>
      <c r="J23" s="155" t="s">
        <v>4</v>
      </c>
      <c r="K23" s="159"/>
    </row>
    <row r="24" spans="1:11" ht="12.75">
      <c r="A24" s="29">
        <v>7</v>
      </c>
      <c r="B24" s="154"/>
      <c r="C24" s="173" t="s">
        <v>161</v>
      </c>
      <c r="D24" s="155"/>
      <c r="E24" s="95"/>
      <c r="F24" s="169"/>
      <c r="G24" s="221">
        <v>113.05</v>
      </c>
      <c r="H24" s="95"/>
      <c r="I24" s="95">
        <v>2013</v>
      </c>
      <c r="J24" s="155" t="s">
        <v>4</v>
      </c>
      <c r="K24" s="203"/>
    </row>
    <row r="25" spans="1:11" ht="12.75">
      <c r="A25" s="29">
        <v>8</v>
      </c>
      <c r="B25" s="154"/>
      <c r="C25" s="173" t="s">
        <v>210</v>
      </c>
      <c r="D25" s="155"/>
      <c r="E25" s="95"/>
      <c r="F25" s="169"/>
      <c r="G25" s="221">
        <v>12054</v>
      </c>
      <c r="H25" s="95"/>
      <c r="I25" s="95">
        <v>2013</v>
      </c>
      <c r="J25" s="155" t="s">
        <v>3</v>
      </c>
      <c r="K25" s="203"/>
    </row>
    <row r="26" spans="1:11" ht="12.75">
      <c r="A26" s="29">
        <v>9</v>
      </c>
      <c r="B26" s="154"/>
      <c r="C26" s="173"/>
      <c r="D26" s="155"/>
      <c r="E26" s="95"/>
      <c r="F26" s="169"/>
      <c r="G26" s="221"/>
      <c r="H26" s="95"/>
      <c r="I26" s="95"/>
      <c r="J26" s="155"/>
      <c r="K26" s="203"/>
    </row>
    <row r="27" spans="1:11" ht="12.75">
      <c r="A27" s="29">
        <v>10</v>
      </c>
      <c r="B27" s="154"/>
      <c r="C27" s="173"/>
      <c r="D27" s="155"/>
      <c r="E27" s="95"/>
      <c r="F27" s="169"/>
      <c r="G27" s="157"/>
      <c r="H27" s="95"/>
      <c r="I27" s="95"/>
      <c r="J27" s="155"/>
      <c r="K27" s="203"/>
    </row>
    <row r="28" spans="1:11" ht="12.75">
      <c r="A28" s="29">
        <v>11</v>
      </c>
      <c r="B28" s="154"/>
      <c r="C28" s="173"/>
      <c r="D28" s="155"/>
      <c r="E28" s="95"/>
      <c r="F28" s="169"/>
      <c r="G28" s="157"/>
      <c r="H28" s="95"/>
      <c r="I28" s="95"/>
      <c r="J28" s="155"/>
      <c r="K28" s="203"/>
    </row>
    <row r="29" spans="1:11" ht="12.75">
      <c r="A29" s="29">
        <v>12</v>
      </c>
      <c r="B29" s="154"/>
      <c r="C29" s="173"/>
      <c r="D29" s="155"/>
      <c r="E29" s="95"/>
      <c r="F29" s="169"/>
      <c r="G29" s="157"/>
      <c r="H29" s="95"/>
      <c r="I29" s="95"/>
      <c r="J29" s="155"/>
      <c r="K29" s="203"/>
    </row>
    <row r="30" spans="1:11" ht="12.75">
      <c r="A30" s="29">
        <v>13</v>
      </c>
      <c r="B30" s="163"/>
      <c r="C30" s="166"/>
      <c r="D30" s="164"/>
      <c r="E30" s="158"/>
      <c r="F30" s="165"/>
      <c r="G30" s="161"/>
      <c r="H30" s="158"/>
      <c r="I30" s="158"/>
      <c r="J30" s="155"/>
      <c r="K30" s="159"/>
    </row>
    <row r="31" spans="1:11" ht="12.75">
      <c r="A31" s="29">
        <v>14</v>
      </c>
      <c r="B31" s="163"/>
      <c r="C31" s="166"/>
      <c r="D31" s="164"/>
      <c r="E31" s="158"/>
      <c r="F31" s="165"/>
      <c r="G31" s="161"/>
      <c r="H31" s="158"/>
      <c r="I31" s="158"/>
      <c r="J31" s="164"/>
      <c r="K31" s="159"/>
    </row>
    <row r="32" spans="1:11" ht="12.75">
      <c r="A32" s="29">
        <v>15</v>
      </c>
      <c r="B32" s="154"/>
      <c r="C32" s="173"/>
      <c r="D32" s="155"/>
      <c r="E32" s="95"/>
      <c r="F32" s="169"/>
      <c r="G32" s="157"/>
      <c r="H32" s="95"/>
      <c r="I32" s="95"/>
      <c r="J32" s="155"/>
      <c r="K32" s="159"/>
    </row>
    <row r="33" spans="1:11" ht="13.5" thickBot="1">
      <c r="A33" s="104">
        <v>16</v>
      </c>
      <c r="B33" s="185"/>
      <c r="C33" s="186"/>
      <c r="D33" s="187"/>
      <c r="E33" s="188"/>
      <c r="F33" s="189"/>
      <c r="G33" s="190"/>
      <c r="H33" s="188"/>
      <c r="I33" s="188"/>
      <c r="J33" s="187"/>
      <c r="K33" s="191"/>
    </row>
    <row r="34" spans="1:11" ht="13.5" thickBot="1">
      <c r="A34" s="79"/>
      <c r="B34" s="80"/>
      <c r="C34" s="44"/>
      <c r="D34" s="81"/>
      <c r="E34" s="21"/>
      <c r="F34" s="77"/>
      <c r="G34" s="37"/>
      <c r="H34" s="21"/>
      <c r="I34" s="21"/>
      <c r="J34" s="81"/>
      <c r="K34" s="48"/>
    </row>
    <row r="35" spans="1:11" s="14" customFormat="1" ht="13.5" customHeight="1">
      <c r="A35" s="264" t="s">
        <v>53</v>
      </c>
      <c r="B35" s="265"/>
      <c r="C35" s="265"/>
      <c r="D35" s="265"/>
      <c r="E35" s="265"/>
      <c r="F35" s="45">
        <f>SUM(F18:F33)</f>
        <v>112000</v>
      </c>
      <c r="G35" s="45">
        <f>SUM(G18:G33)</f>
        <v>93249.46</v>
      </c>
      <c r="H35" s="266"/>
      <c r="I35" s="267"/>
      <c r="J35" s="267"/>
      <c r="K35" s="94"/>
    </row>
    <row r="36" spans="1:11" s="14" customFormat="1" ht="13.5" customHeight="1">
      <c r="A36" s="112"/>
      <c r="B36" s="278" t="s">
        <v>24</v>
      </c>
      <c r="C36" s="279"/>
      <c r="D36" s="280"/>
      <c r="E36" s="281"/>
      <c r="F36" s="113"/>
      <c r="G36" s="113"/>
      <c r="H36" s="282"/>
      <c r="I36" s="283"/>
      <c r="J36" s="283"/>
      <c r="K36" s="54"/>
    </row>
    <row r="37" spans="1:11" s="14" customFormat="1" ht="13.5" customHeight="1">
      <c r="A37" s="112"/>
      <c r="B37" s="278"/>
      <c r="C37" s="284"/>
      <c r="D37" s="280"/>
      <c r="E37" s="281"/>
      <c r="F37" s="114"/>
      <c r="G37" s="114"/>
      <c r="H37" s="270"/>
      <c r="I37" s="279"/>
      <c r="J37" s="279"/>
      <c r="K37" s="55"/>
    </row>
    <row r="38" spans="1:11" s="14" customFormat="1" ht="13.5" customHeight="1">
      <c r="A38" s="115"/>
      <c r="B38" s="278" t="s">
        <v>4</v>
      </c>
      <c r="C38" s="293"/>
      <c r="D38" s="280"/>
      <c r="E38" s="281"/>
      <c r="F38" s="43">
        <f>F21+F24</f>
        <v>20000</v>
      </c>
      <c r="G38" s="43">
        <f>G23+G24</f>
        <v>16273.73</v>
      </c>
      <c r="H38" s="294"/>
      <c r="I38" s="295"/>
      <c r="J38" s="295"/>
      <c r="K38" s="57"/>
    </row>
    <row r="39" spans="1:11" s="14" customFormat="1" ht="13.5" customHeight="1">
      <c r="A39" s="115"/>
      <c r="B39" s="291" t="s">
        <v>3</v>
      </c>
      <c r="C39" s="291"/>
      <c r="D39" s="292"/>
      <c r="E39" s="292"/>
      <c r="F39" s="43">
        <f>F35-F37-F38</f>
        <v>92000</v>
      </c>
      <c r="G39" s="43">
        <f>G35-G37-G38</f>
        <v>76975.73000000001</v>
      </c>
      <c r="H39" s="289"/>
      <c r="I39" s="290"/>
      <c r="J39" s="290"/>
      <c r="K39" s="36"/>
    </row>
    <row r="40" spans="1:11" s="14" customFormat="1" ht="13.5" customHeight="1" thickBot="1">
      <c r="A40" s="274" t="s">
        <v>121</v>
      </c>
      <c r="B40" s="275"/>
      <c r="C40" s="275"/>
      <c r="D40" s="275"/>
      <c r="E40" s="275"/>
      <c r="F40" s="47">
        <f>F16-F35</f>
        <v>17972.347999999998</v>
      </c>
      <c r="G40" s="47">
        <f>G16-G35</f>
        <v>42196.67999999998</v>
      </c>
      <c r="H40" s="276"/>
      <c r="I40" s="277"/>
      <c r="J40" s="277"/>
      <c r="K40" s="56"/>
    </row>
    <row r="41" spans="1:11" s="63" customFormat="1" ht="13.5" customHeight="1">
      <c r="A41" s="58"/>
      <c r="B41" s="58"/>
      <c r="C41" s="58"/>
      <c r="D41" s="58"/>
      <c r="E41" s="58"/>
      <c r="F41" s="59"/>
      <c r="G41" s="59"/>
      <c r="H41" s="61"/>
      <c r="I41" s="64"/>
      <c r="J41" s="64"/>
      <c r="K41" s="62"/>
    </row>
    <row r="42" spans="1:11" s="10" customFormat="1" ht="11.25">
      <c r="A42" s="21"/>
      <c r="B42" s="49"/>
      <c r="C42" s="21"/>
      <c r="D42" s="21"/>
      <c r="E42" s="21"/>
      <c r="F42" s="50"/>
      <c r="G42" s="37"/>
      <c r="H42" s="21"/>
      <c r="I42" s="21"/>
      <c r="J42" s="21"/>
      <c r="K42" s="23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  <row r="63" ht="12.75">
      <c r="K63" s="1"/>
    </row>
  </sheetData>
  <sheetProtection/>
  <mergeCells count="38">
    <mergeCell ref="B38:E38"/>
    <mergeCell ref="H38:J38"/>
    <mergeCell ref="B39:E39"/>
    <mergeCell ref="H39:J39"/>
    <mergeCell ref="A40:E40"/>
    <mergeCell ref="H40:J40"/>
    <mergeCell ref="B37:E37"/>
    <mergeCell ref="H37:J37"/>
    <mergeCell ref="A16:E16"/>
    <mergeCell ref="H16:J16"/>
    <mergeCell ref="A35:E35"/>
    <mergeCell ref="H35:J35"/>
    <mergeCell ref="B36:E36"/>
    <mergeCell ref="H36:J36"/>
    <mergeCell ref="A14:E14"/>
    <mergeCell ref="H14:J14"/>
    <mergeCell ref="A15:E15"/>
    <mergeCell ref="H15:J15"/>
    <mergeCell ref="A12:E12"/>
    <mergeCell ref="H12:J12"/>
    <mergeCell ref="A13:E13"/>
    <mergeCell ref="H13:J13"/>
    <mergeCell ref="I6:I7"/>
    <mergeCell ref="J6:J7"/>
    <mergeCell ref="K6:K7"/>
    <mergeCell ref="A9:K9"/>
    <mergeCell ref="G6:G7"/>
    <mergeCell ref="H6:H7"/>
    <mergeCell ref="A11:E11"/>
    <mergeCell ref="H11:J11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63"/>
  <sheetViews>
    <sheetView zoomScale="150" zoomScaleNormal="150" zoomScalePageLayoutView="0" workbookViewId="0" topLeftCell="A19">
      <selection activeCell="G21" sqref="G21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7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201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138</v>
      </c>
      <c r="I2" s="10"/>
      <c r="J2" s="10"/>
      <c r="K2" s="10"/>
    </row>
    <row r="3" spans="1:12" ht="12.75" customHeight="1">
      <c r="A3" s="253" t="s">
        <v>117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39"/>
    </row>
    <row r="4" spans="1:11" ht="12.75" customHeight="1">
      <c r="A4" s="253" t="s">
        <v>200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55" t="s">
        <v>9</v>
      </c>
      <c r="B6" s="257" t="s">
        <v>0</v>
      </c>
      <c r="C6" s="257" t="s">
        <v>1</v>
      </c>
      <c r="D6" s="257" t="s">
        <v>10</v>
      </c>
      <c r="E6" s="257" t="s">
        <v>11</v>
      </c>
      <c r="F6" s="257" t="s">
        <v>12</v>
      </c>
      <c r="G6" s="311" t="s">
        <v>13</v>
      </c>
      <c r="H6" s="257" t="s">
        <v>14</v>
      </c>
      <c r="I6" s="257" t="s">
        <v>15</v>
      </c>
      <c r="J6" s="257" t="s">
        <v>16</v>
      </c>
      <c r="K6" s="259" t="s">
        <v>2</v>
      </c>
    </row>
    <row r="7" spans="1:11" ht="13.5" thickBot="1">
      <c r="A7" s="256"/>
      <c r="B7" s="258"/>
      <c r="C7" s="258"/>
      <c r="D7" s="258"/>
      <c r="E7" s="258"/>
      <c r="F7" s="258"/>
      <c r="G7" s="312"/>
      <c r="H7" s="258"/>
      <c r="I7" s="258"/>
      <c r="J7" s="258"/>
      <c r="K7" s="260"/>
    </row>
    <row r="8" spans="1:11" ht="13.5" thickBot="1">
      <c r="A8" s="38"/>
      <c r="B8" s="38"/>
      <c r="C8" s="38"/>
      <c r="D8" s="38"/>
      <c r="E8" s="38"/>
      <c r="F8" s="38"/>
      <c r="G8" s="138"/>
      <c r="H8" s="38"/>
      <c r="I8" s="38"/>
      <c r="J8" s="38"/>
      <c r="K8" s="38"/>
    </row>
    <row r="9" spans="1:11" ht="21" customHeight="1" thickBot="1">
      <c r="A9" s="261" t="s">
        <v>66</v>
      </c>
      <c r="B9" s="262"/>
      <c r="C9" s="262"/>
      <c r="D9" s="262"/>
      <c r="E9" s="262"/>
      <c r="F9" s="262"/>
      <c r="G9" s="262"/>
      <c r="H9" s="262"/>
      <c r="I9" s="262"/>
      <c r="J9" s="262"/>
      <c r="K9" s="263"/>
    </row>
    <row r="10" spans="1:11" s="14" customFormat="1" ht="12.75" customHeight="1">
      <c r="A10" s="15"/>
      <c r="B10" s="16"/>
      <c r="C10" s="16" t="s">
        <v>17</v>
      </c>
      <c r="D10" s="17">
        <v>18895.4</v>
      </c>
      <c r="E10" s="18" t="s">
        <v>6</v>
      </c>
      <c r="F10" s="19"/>
      <c r="G10" s="139"/>
      <c r="H10" s="11" t="s">
        <v>8</v>
      </c>
      <c r="I10" s="12">
        <v>1.4</v>
      </c>
      <c r="J10" s="13" t="s">
        <v>7</v>
      </c>
      <c r="K10" s="20"/>
    </row>
    <row r="11" spans="1:11" s="14" customFormat="1" ht="13.5" customHeight="1">
      <c r="A11" s="272" t="s">
        <v>118</v>
      </c>
      <c r="B11" s="273"/>
      <c r="C11" s="273"/>
      <c r="D11" s="273"/>
      <c r="E11" s="273"/>
      <c r="F11" s="42">
        <v>0</v>
      </c>
      <c r="G11" s="42">
        <v>192824.54</v>
      </c>
      <c r="H11" s="270"/>
      <c r="I11" s="271"/>
      <c r="J11" s="271"/>
      <c r="K11" s="55"/>
    </row>
    <row r="12" spans="1:11" s="14" customFormat="1" ht="13.5" customHeight="1">
      <c r="A12" s="268" t="s">
        <v>34</v>
      </c>
      <c r="B12" s="269"/>
      <c r="C12" s="269"/>
      <c r="D12" s="269"/>
      <c r="E12" s="269"/>
      <c r="F12" s="42">
        <f>D10*I10*12</f>
        <v>317442.72000000003</v>
      </c>
      <c r="G12" s="42">
        <f>97272+73120.32+73364.88+73684.8</f>
        <v>317442</v>
      </c>
      <c r="H12" s="270"/>
      <c r="I12" s="271"/>
      <c r="J12" s="271"/>
      <c r="K12" s="55"/>
    </row>
    <row r="13" spans="1:11" s="14" customFormat="1" ht="13.5" customHeight="1">
      <c r="A13" s="268" t="s">
        <v>50</v>
      </c>
      <c r="B13" s="269"/>
      <c r="C13" s="269"/>
      <c r="D13" s="269"/>
      <c r="E13" s="269"/>
      <c r="F13" s="42">
        <f>-(D10*12*0)</f>
        <v>0</v>
      </c>
      <c r="G13" s="42">
        <v>0</v>
      </c>
      <c r="H13" s="270"/>
      <c r="I13" s="271"/>
      <c r="J13" s="271"/>
      <c r="K13" s="55"/>
    </row>
    <row r="14" spans="1:11" s="41" customFormat="1" ht="12.75" customHeight="1">
      <c r="A14" s="272" t="s">
        <v>60</v>
      </c>
      <c r="B14" s="273"/>
      <c r="C14" s="273"/>
      <c r="D14" s="273"/>
      <c r="E14" s="273"/>
      <c r="F14" s="42">
        <v>90000</v>
      </c>
      <c r="G14" s="42">
        <f>81109.36+220.65+1216.01</f>
        <v>82546.01999999999</v>
      </c>
      <c r="H14" s="270"/>
      <c r="I14" s="271"/>
      <c r="J14" s="271"/>
      <c r="K14" s="55"/>
    </row>
    <row r="15" spans="1:11" s="14" customFormat="1" ht="13.5" customHeight="1">
      <c r="A15" s="268" t="s">
        <v>104</v>
      </c>
      <c r="B15" s="269"/>
      <c r="C15" s="269"/>
      <c r="D15" s="269"/>
      <c r="E15" s="269"/>
      <c r="F15" s="42">
        <v>0</v>
      </c>
      <c r="G15" s="42">
        <v>0</v>
      </c>
      <c r="H15" s="270"/>
      <c r="I15" s="271"/>
      <c r="J15" s="271"/>
      <c r="K15" s="55"/>
    </row>
    <row r="16" spans="1:11" s="40" customFormat="1" ht="12.75" customHeight="1" thickBot="1">
      <c r="A16" s="287" t="s">
        <v>107</v>
      </c>
      <c r="B16" s="288"/>
      <c r="C16" s="288"/>
      <c r="D16" s="288"/>
      <c r="E16" s="288"/>
      <c r="F16" s="46">
        <f>F11+F12+F13+F14+F15</f>
        <v>407442.72000000003</v>
      </c>
      <c r="G16" s="46">
        <f>G11+G12+G13+G14+G15</f>
        <v>592812.56</v>
      </c>
      <c r="H16" s="276"/>
      <c r="I16" s="277"/>
      <c r="J16" s="277"/>
      <c r="K16" s="56"/>
    </row>
    <row r="17" spans="1:11" s="86" customFormat="1" ht="13.5" customHeight="1" thickBot="1">
      <c r="A17" s="58"/>
      <c r="B17" s="58"/>
      <c r="C17" s="58"/>
      <c r="D17" s="58"/>
      <c r="E17" s="58"/>
      <c r="F17" s="59"/>
      <c r="G17" s="59"/>
      <c r="H17" s="61"/>
      <c r="I17" s="64"/>
      <c r="J17" s="64"/>
      <c r="K17" s="62"/>
    </row>
    <row r="18" spans="1:11" ht="12.75">
      <c r="A18" s="96">
        <v>1</v>
      </c>
      <c r="B18" s="70" t="s">
        <v>110</v>
      </c>
      <c r="C18" s="97" t="s">
        <v>26</v>
      </c>
      <c r="D18" s="71" t="s">
        <v>19</v>
      </c>
      <c r="E18" s="70"/>
      <c r="F18" s="72">
        <v>280000</v>
      </c>
      <c r="G18" s="246">
        <f>13354.23</f>
        <v>13354.23</v>
      </c>
      <c r="H18" s="92">
        <v>2013</v>
      </c>
      <c r="I18" s="92"/>
      <c r="J18" s="90" t="s">
        <v>3</v>
      </c>
      <c r="K18" s="231" t="s">
        <v>214</v>
      </c>
    </row>
    <row r="19" spans="1:11" ht="12.75">
      <c r="A19" s="30">
        <v>2</v>
      </c>
      <c r="B19" s="52" t="s">
        <v>40</v>
      </c>
      <c r="C19" s="22" t="s">
        <v>97</v>
      </c>
      <c r="D19" s="68" t="s">
        <v>109</v>
      </c>
      <c r="E19" s="52"/>
      <c r="F19" s="66">
        <v>90000</v>
      </c>
      <c r="G19" s="214">
        <f>39480.57+41260.43</f>
        <v>80741</v>
      </c>
      <c r="H19" s="2">
        <v>2013</v>
      </c>
      <c r="I19" s="2">
        <v>2013</v>
      </c>
      <c r="J19" s="2" t="s">
        <v>3</v>
      </c>
      <c r="K19" s="147" t="s">
        <v>23</v>
      </c>
    </row>
    <row r="20" spans="1:11" ht="12.75">
      <c r="A20" s="30">
        <v>3</v>
      </c>
      <c r="B20" s="142"/>
      <c r="C20" s="22" t="s">
        <v>125</v>
      </c>
      <c r="D20" s="68" t="s">
        <v>130</v>
      </c>
      <c r="E20" s="52"/>
      <c r="F20" s="66">
        <v>8000</v>
      </c>
      <c r="G20" s="214">
        <f>1107*4</f>
        <v>4428</v>
      </c>
      <c r="H20" s="2">
        <v>2013</v>
      </c>
      <c r="I20" s="84">
        <v>2013</v>
      </c>
      <c r="J20" s="143" t="s">
        <v>3</v>
      </c>
      <c r="K20" s="145"/>
    </row>
    <row r="21" spans="1:11" ht="12.75">
      <c r="A21" s="30">
        <v>4</v>
      </c>
      <c r="B21" s="31" t="s">
        <v>142</v>
      </c>
      <c r="C21" s="22" t="s">
        <v>26</v>
      </c>
      <c r="D21" s="4" t="s">
        <v>129</v>
      </c>
      <c r="E21" s="4"/>
      <c r="F21" s="32"/>
      <c r="G21" s="213">
        <v>295920</v>
      </c>
      <c r="H21" s="4">
        <v>2012</v>
      </c>
      <c r="I21" s="4" t="s">
        <v>211</v>
      </c>
      <c r="J21" s="2" t="s">
        <v>3</v>
      </c>
      <c r="K21" s="151" t="s">
        <v>141</v>
      </c>
    </row>
    <row r="22" spans="1:11" ht="12.75">
      <c r="A22" s="24">
        <v>5</v>
      </c>
      <c r="B22" s="22"/>
      <c r="C22" s="31" t="s">
        <v>21</v>
      </c>
      <c r="D22" s="68"/>
      <c r="E22" s="52"/>
      <c r="F22" s="66">
        <v>25000</v>
      </c>
      <c r="G22" s="213"/>
      <c r="H22" s="4"/>
      <c r="I22" s="4"/>
      <c r="J22" s="2" t="s">
        <v>4</v>
      </c>
      <c r="K22" s="151"/>
    </row>
    <row r="23" spans="1:11" ht="12.75">
      <c r="A23" s="24">
        <v>6</v>
      </c>
      <c r="B23" s="160" t="s">
        <v>151</v>
      </c>
      <c r="C23" s="160" t="s">
        <v>152</v>
      </c>
      <c r="D23" s="158"/>
      <c r="E23" s="158"/>
      <c r="F23" s="161"/>
      <c r="G23" s="208">
        <f>800+5665.68</f>
        <v>6465.68</v>
      </c>
      <c r="H23" s="158"/>
      <c r="I23" s="158">
        <v>2013</v>
      </c>
      <c r="J23" s="95" t="s">
        <v>3</v>
      </c>
      <c r="K23" s="159"/>
    </row>
    <row r="24" spans="1:11" ht="12.75">
      <c r="A24" s="29">
        <v>7</v>
      </c>
      <c r="B24" s="168" t="s">
        <v>212</v>
      </c>
      <c r="C24" s="168" t="s">
        <v>144</v>
      </c>
      <c r="D24" s="95"/>
      <c r="E24" s="95"/>
      <c r="F24" s="157"/>
      <c r="G24" s="221">
        <f>1771.2+2646+378+1674</f>
        <v>6469.2</v>
      </c>
      <c r="H24" s="95"/>
      <c r="I24" s="158">
        <v>2013</v>
      </c>
      <c r="J24" s="155" t="s">
        <v>3</v>
      </c>
      <c r="K24" s="159"/>
    </row>
    <row r="25" spans="1:11" ht="12.75">
      <c r="A25" s="29">
        <v>8</v>
      </c>
      <c r="B25" s="163" t="s">
        <v>177</v>
      </c>
      <c r="C25" s="166" t="s">
        <v>162</v>
      </c>
      <c r="D25" s="164"/>
      <c r="E25" s="158"/>
      <c r="F25" s="165"/>
      <c r="G25" s="208">
        <f>2605.44+4663.01+6429.3</f>
        <v>13697.75</v>
      </c>
      <c r="H25" s="158"/>
      <c r="I25" s="158">
        <v>2013</v>
      </c>
      <c r="J25" s="155" t="s">
        <v>4</v>
      </c>
      <c r="K25" s="25"/>
    </row>
    <row r="26" spans="1:11" ht="12.75">
      <c r="A26" s="29">
        <v>9</v>
      </c>
      <c r="B26" s="163" t="s">
        <v>110</v>
      </c>
      <c r="C26" s="166" t="s">
        <v>176</v>
      </c>
      <c r="D26" s="164"/>
      <c r="E26" s="158"/>
      <c r="F26" s="165"/>
      <c r="G26" s="208">
        <v>7703.05</v>
      </c>
      <c r="H26" s="158"/>
      <c r="I26" s="158">
        <v>2013</v>
      </c>
      <c r="J26" s="164" t="s">
        <v>4</v>
      </c>
      <c r="K26" s="25"/>
    </row>
    <row r="27" spans="1:11" ht="12.75">
      <c r="A27" s="29">
        <v>10</v>
      </c>
      <c r="B27" s="163" t="s">
        <v>110</v>
      </c>
      <c r="C27" s="166" t="s">
        <v>199</v>
      </c>
      <c r="D27" s="164"/>
      <c r="E27" s="158"/>
      <c r="F27" s="165"/>
      <c r="G27" s="208">
        <f>16137.25</f>
        <v>16137.25</v>
      </c>
      <c r="H27" s="158"/>
      <c r="I27" s="158">
        <v>2013</v>
      </c>
      <c r="J27" s="164" t="s">
        <v>4</v>
      </c>
      <c r="K27" s="25"/>
    </row>
    <row r="28" spans="1:11" ht="12.75">
      <c r="A28" s="29">
        <v>11</v>
      </c>
      <c r="B28" s="51"/>
      <c r="C28" s="166" t="s">
        <v>161</v>
      </c>
      <c r="D28" s="164"/>
      <c r="E28" s="158"/>
      <c r="F28" s="165"/>
      <c r="G28" s="208">
        <f>911.41+755.9</f>
        <v>1667.31</v>
      </c>
      <c r="H28" s="4"/>
      <c r="I28" s="158">
        <v>2013</v>
      </c>
      <c r="J28" s="164" t="s">
        <v>4</v>
      </c>
      <c r="K28" s="25"/>
    </row>
    <row r="29" spans="1:11" ht="12.75">
      <c r="A29" s="29">
        <v>12</v>
      </c>
      <c r="B29" s="163" t="s">
        <v>142</v>
      </c>
      <c r="C29" s="166" t="s">
        <v>178</v>
      </c>
      <c r="D29" s="164"/>
      <c r="E29" s="158"/>
      <c r="F29" s="165"/>
      <c r="G29" s="208">
        <f>7983.81</f>
        <v>7983.81</v>
      </c>
      <c r="H29" s="158"/>
      <c r="I29" s="158">
        <v>2013</v>
      </c>
      <c r="J29" s="164" t="s">
        <v>3</v>
      </c>
      <c r="K29" s="25"/>
    </row>
    <row r="30" spans="1:11" ht="12.75">
      <c r="A30" s="29">
        <v>13</v>
      </c>
      <c r="B30" s="173" t="s">
        <v>40</v>
      </c>
      <c r="C30" s="168" t="s">
        <v>143</v>
      </c>
      <c r="D30" s="158"/>
      <c r="E30" s="158"/>
      <c r="F30" s="161"/>
      <c r="G30" s="208">
        <v>8959.16</v>
      </c>
      <c r="H30" s="158"/>
      <c r="I30" s="158">
        <v>2013</v>
      </c>
      <c r="J30" s="95" t="s">
        <v>3</v>
      </c>
      <c r="K30" s="223"/>
    </row>
    <row r="31" spans="1:11" ht="12.75">
      <c r="A31" s="29">
        <v>14</v>
      </c>
      <c r="B31" s="163"/>
      <c r="C31" s="166" t="s">
        <v>213</v>
      </c>
      <c r="D31" s="164"/>
      <c r="E31" s="158"/>
      <c r="F31" s="165"/>
      <c r="G31" s="208">
        <f>200.99+1188</f>
        <v>1388.99</v>
      </c>
      <c r="H31" s="158"/>
      <c r="I31" s="158">
        <v>2013</v>
      </c>
      <c r="J31" s="164" t="s">
        <v>3</v>
      </c>
      <c r="K31" s="159"/>
    </row>
    <row r="32" spans="1:11" ht="12.75">
      <c r="A32" s="29">
        <v>15</v>
      </c>
      <c r="B32" s="154" t="s">
        <v>142</v>
      </c>
      <c r="C32" s="173" t="s">
        <v>199</v>
      </c>
      <c r="D32" s="155"/>
      <c r="E32" s="95"/>
      <c r="F32" s="169"/>
      <c r="G32" s="221">
        <v>15832.73</v>
      </c>
      <c r="H32" s="95"/>
      <c r="I32" s="95">
        <v>2013</v>
      </c>
      <c r="J32" s="155" t="s">
        <v>4</v>
      </c>
      <c r="K32" s="159"/>
    </row>
    <row r="33" spans="1:11" ht="13.5" thickBot="1">
      <c r="A33" s="104">
        <v>16</v>
      </c>
      <c r="B33" s="185" t="s">
        <v>40</v>
      </c>
      <c r="C33" s="186" t="s">
        <v>215</v>
      </c>
      <c r="D33" s="187"/>
      <c r="E33" s="188"/>
      <c r="F33" s="189"/>
      <c r="G33" s="242">
        <v>4248.9</v>
      </c>
      <c r="H33" s="188"/>
      <c r="I33" s="188">
        <v>2013</v>
      </c>
      <c r="J33" s="187" t="s">
        <v>4</v>
      </c>
      <c r="K33" s="191"/>
    </row>
    <row r="34" spans="1:11" ht="13.5" thickBot="1">
      <c r="A34" s="79"/>
      <c r="B34" s="80"/>
      <c r="C34" s="44"/>
      <c r="D34" s="81"/>
      <c r="E34" s="21"/>
      <c r="F34" s="77"/>
      <c r="G34" s="37"/>
      <c r="H34" s="21"/>
      <c r="I34" s="21"/>
      <c r="J34" s="81"/>
      <c r="K34" s="48"/>
    </row>
    <row r="35" spans="1:11" s="14" customFormat="1" ht="13.5" customHeight="1">
      <c r="A35" s="264" t="s">
        <v>53</v>
      </c>
      <c r="B35" s="265"/>
      <c r="C35" s="265"/>
      <c r="D35" s="265"/>
      <c r="E35" s="265"/>
      <c r="F35" s="45">
        <f>SUM(F18:F33)</f>
        <v>403000</v>
      </c>
      <c r="G35" s="45">
        <f>SUM(G18:G33)</f>
        <v>484997.05999999994</v>
      </c>
      <c r="H35" s="266"/>
      <c r="I35" s="267"/>
      <c r="J35" s="267"/>
      <c r="K35" s="94"/>
    </row>
    <row r="36" spans="1:11" s="14" customFormat="1" ht="13.5" customHeight="1">
      <c r="A36" s="112"/>
      <c r="B36" s="278" t="s">
        <v>24</v>
      </c>
      <c r="C36" s="279"/>
      <c r="D36" s="280"/>
      <c r="E36" s="281"/>
      <c r="F36" s="113"/>
      <c r="G36" s="113"/>
      <c r="H36" s="282"/>
      <c r="I36" s="283"/>
      <c r="J36" s="283"/>
      <c r="K36" s="54"/>
    </row>
    <row r="37" spans="1:11" s="14" customFormat="1" ht="12.75" customHeight="1">
      <c r="A37" s="112"/>
      <c r="B37" s="278"/>
      <c r="C37" s="284"/>
      <c r="D37" s="280"/>
      <c r="E37" s="281"/>
      <c r="F37" s="114"/>
      <c r="G37" s="114"/>
      <c r="H37" s="270"/>
      <c r="I37" s="279"/>
      <c r="J37" s="279"/>
      <c r="K37" s="55"/>
    </row>
    <row r="38" spans="1:11" s="14" customFormat="1" ht="13.5" customHeight="1">
      <c r="A38" s="115"/>
      <c r="B38" s="278" t="s">
        <v>4</v>
      </c>
      <c r="C38" s="293"/>
      <c r="D38" s="280"/>
      <c r="E38" s="281"/>
      <c r="F38" s="43">
        <f>F22+F25+F26+F27</f>
        <v>25000</v>
      </c>
      <c r="G38" s="43">
        <f>G25+G26+G27+G28+G32+G33</f>
        <v>59286.99</v>
      </c>
      <c r="H38" s="294"/>
      <c r="I38" s="295"/>
      <c r="J38" s="295"/>
      <c r="K38" s="57"/>
    </row>
    <row r="39" spans="1:11" s="14" customFormat="1" ht="13.5" customHeight="1">
      <c r="A39" s="115"/>
      <c r="B39" s="291" t="s">
        <v>3</v>
      </c>
      <c r="C39" s="291"/>
      <c r="D39" s="292"/>
      <c r="E39" s="292"/>
      <c r="F39" s="43">
        <f>F35-F37-F38</f>
        <v>378000</v>
      </c>
      <c r="G39" s="43">
        <f>G35-G37-G38</f>
        <v>425710.06999999995</v>
      </c>
      <c r="H39" s="289"/>
      <c r="I39" s="290"/>
      <c r="J39" s="290"/>
      <c r="K39" s="36"/>
    </row>
    <row r="40" spans="1:11" s="14" customFormat="1" ht="13.5" customHeight="1" thickBot="1">
      <c r="A40" s="274" t="s">
        <v>121</v>
      </c>
      <c r="B40" s="275"/>
      <c r="C40" s="275"/>
      <c r="D40" s="275"/>
      <c r="E40" s="275"/>
      <c r="F40" s="47">
        <f>F16-F35</f>
        <v>4442.72000000003</v>
      </c>
      <c r="G40" s="47">
        <f>G16-G35</f>
        <v>107815.50000000012</v>
      </c>
      <c r="H40" s="276"/>
      <c r="I40" s="277"/>
      <c r="J40" s="277"/>
      <c r="K40" s="56"/>
    </row>
    <row r="41" spans="1:11" s="63" customFormat="1" ht="13.5" customHeight="1">
      <c r="A41" s="58"/>
      <c r="B41" s="58"/>
      <c r="C41" s="58"/>
      <c r="D41" s="58"/>
      <c r="E41" s="58"/>
      <c r="F41" s="59"/>
      <c r="G41" s="59"/>
      <c r="H41" s="61"/>
      <c r="I41" s="64"/>
      <c r="J41" s="64"/>
      <c r="K41" s="62"/>
    </row>
    <row r="42" spans="1:11" s="10" customFormat="1" ht="11.25">
      <c r="A42" s="21"/>
      <c r="B42" s="49"/>
      <c r="C42" s="21"/>
      <c r="D42" s="21"/>
      <c r="E42" s="21"/>
      <c r="F42" s="50"/>
      <c r="G42" s="37"/>
      <c r="H42" s="21"/>
      <c r="I42" s="21"/>
      <c r="J42" s="21"/>
      <c r="K42" s="23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  <row r="63" ht="12.75">
      <c r="K63" s="1"/>
    </row>
  </sheetData>
  <sheetProtection/>
  <mergeCells count="38">
    <mergeCell ref="B38:E38"/>
    <mergeCell ref="H38:J38"/>
    <mergeCell ref="B39:E39"/>
    <mergeCell ref="H39:J39"/>
    <mergeCell ref="A40:E40"/>
    <mergeCell ref="H40:J40"/>
    <mergeCell ref="B37:E37"/>
    <mergeCell ref="H37:J37"/>
    <mergeCell ref="A16:E16"/>
    <mergeCell ref="H16:J16"/>
    <mergeCell ref="A35:E35"/>
    <mergeCell ref="H35:J35"/>
    <mergeCell ref="B36:E36"/>
    <mergeCell ref="H36:J36"/>
    <mergeCell ref="A14:E14"/>
    <mergeCell ref="H14:J14"/>
    <mergeCell ref="A15:E15"/>
    <mergeCell ref="H15:J15"/>
    <mergeCell ref="A12:E12"/>
    <mergeCell ref="H12:J12"/>
    <mergeCell ref="A13:E13"/>
    <mergeCell ref="H13:J13"/>
    <mergeCell ref="I6:I7"/>
    <mergeCell ref="J6:J7"/>
    <mergeCell ref="K6:K7"/>
    <mergeCell ref="A9:K9"/>
    <mergeCell ref="G6:G7"/>
    <mergeCell ref="H6:H7"/>
    <mergeCell ref="A11:E11"/>
    <mergeCell ref="H11:J11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zoomScale="150" zoomScaleNormal="150" zoomScalePageLayoutView="0" workbookViewId="0" topLeftCell="A14">
      <selection activeCell="G24" sqref="G24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7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201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138</v>
      </c>
      <c r="I2" s="10"/>
      <c r="J2" s="10"/>
      <c r="K2" s="10"/>
    </row>
    <row r="3" spans="1:12" ht="12.75" customHeight="1">
      <c r="A3" s="253" t="s">
        <v>117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39"/>
    </row>
    <row r="4" spans="1:11" ht="12.75" customHeight="1">
      <c r="A4" s="253" t="s">
        <v>200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55" t="s">
        <v>9</v>
      </c>
      <c r="B6" s="257" t="s">
        <v>0</v>
      </c>
      <c r="C6" s="257" t="s">
        <v>1</v>
      </c>
      <c r="D6" s="257" t="s">
        <v>10</v>
      </c>
      <c r="E6" s="257" t="s">
        <v>11</v>
      </c>
      <c r="F6" s="257" t="s">
        <v>12</v>
      </c>
      <c r="G6" s="311" t="s">
        <v>13</v>
      </c>
      <c r="H6" s="257" t="s">
        <v>14</v>
      </c>
      <c r="I6" s="257" t="s">
        <v>15</v>
      </c>
      <c r="J6" s="257" t="s">
        <v>16</v>
      </c>
      <c r="K6" s="259" t="s">
        <v>2</v>
      </c>
    </row>
    <row r="7" spans="1:11" ht="13.5" thickBot="1">
      <c r="A7" s="256"/>
      <c r="B7" s="258"/>
      <c r="C7" s="258"/>
      <c r="D7" s="258"/>
      <c r="E7" s="258"/>
      <c r="F7" s="258"/>
      <c r="G7" s="312"/>
      <c r="H7" s="258"/>
      <c r="I7" s="258"/>
      <c r="J7" s="258"/>
      <c r="K7" s="260"/>
    </row>
    <row r="8" spans="1:11" ht="13.5" thickBot="1">
      <c r="A8" s="38"/>
      <c r="B8" s="38"/>
      <c r="C8" s="38"/>
      <c r="D8" s="38"/>
      <c r="E8" s="38"/>
      <c r="F8" s="38"/>
      <c r="G8" s="138"/>
      <c r="H8" s="38"/>
      <c r="I8" s="38"/>
      <c r="J8" s="38"/>
      <c r="K8" s="38"/>
    </row>
    <row r="9" spans="1:11" ht="21" customHeight="1" thickBot="1">
      <c r="A9" s="261" t="s">
        <v>67</v>
      </c>
      <c r="B9" s="262"/>
      <c r="C9" s="262"/>
      <c r="D9" s="262"/>
      <c r="E9" s="262"/>
      <c r="F9" s="262"/>
      <c r="G9" s="262"/>
      <c r="H9" s="262"/>
      <c r="I9" s="262"/>
      <c r="J9" s="262"/>
      <c r="K9" s="263"/>
    </row>
    <row r="10" spans="1:11" s="14" customFormat="1" ht="12.75" customHeight="1">
      <c r="A10" s="15"/>
      <c r="B10" s="16"/>
      <c r="C10" s="16" t="s">
        <v>17</v>
      </c>
      <c r="D10" s="17">
        <v>15366.98</v>
      </c>
      <c r="E10" s="18" t="s">
        <v>6</v>
      </c>
      <c r="F10" s="19"/>
      <c r="G10" s="139"/>
      <c r="H10" s="11" t="s">
        <v>8</v>
      </c>
      <c r="I10" s="12">
        <v>1.2</v>
      </c>
      <c r="J10" s="13" t="s">
        <v>7</v>
      </c>
      <c r="K10" s="20"/>
    </row>
    <row r="11" spans="1:11" s="14" customFormat="1" ht="13.5" customHeight="1">
      <c r="A11" s="272" t="s">
        <v>118</v>
      </c>
      <c r="B11" s="273"/>
      <c r="C11" s="273"/>
      <c r="D11" s="273"/>
      <c r="E11" s="273"/>
      <c r="F11" s="42">
        <v>222942.75</v>
      </c>
      <c r="G11" s="42">
        <v>219167.96</v>
      </c>
      <c r="H11" s="270"/>
      <c r="I11" s="271"/>
      <c r="J11" s="271"/>
      <c r="K11" s="55"/>
    </row>
    <row r="12" spans="1:11" s="14" customFormat="1" ht="13.5" customHeight="1">
      <c r="A12" s="268" t="s">
        <v>34</v>
      </c>
      <c r="B12" s="269"/>
      <c r="C12" s="269"/>
      <c r="D12" s="269"/>
      <c r="E12" s="269"/>
      <c r="F12" s="42">
        <f>D10*I10*12</f>
        <v>221284.512</v>
      </c>
      <c r="G12" s="42">
        <f>56521.42+48286.08+31753.44+60098.12+24625.44</f>
        <v>221284.5</v>
      </c>
      <c r="H12" s="270"/>
      <c r="I12" s="271"/>
      <c r="J12" s="271"/>
      <c r="K12" s="55"/>
    </row>
    <row r="13" spans="1:11" s="14" customFormat="1" ht="13.5" customHeight="1">
      <c r="A13" s="268" t="s">
        <v>50</v>
      </c>
      <c r="B13" s="269"/>
      <c r="C13" s="269"/>
      <c r="D13" s="269"/>
      <c r="E13" s="269"/>
      <c r="F13" s="42">
        <f>-(D10*12*0)</f>
        <v>0</v>
      </c>
      <c r="G13" s="42">
        <v>0</v>
      </c>
      <c r="H13" s="270"/>
      <c r="I13" s="271"/>
      <c r="J13" s="271"/>
      <c r="K13" s="55"/>
    </row>
    <row r="14" spans="1:11" s="41" customFormat="1" ht="12.75" customHeight="1">
      <c r="A14" s="272" t="s">
        <v>55</v>
      </c>
      <c r="B14" s="273"/>
      <c r="C14" s="273"/>
      <c r="D14" s="273"/>
      <c r="E14" s="273"/>
      <c r="F14" s="42">
        <v>0</v>
      </c>
      <c r="G14" s="42">
        <f>220.65+221.56+449.83</f>
        <v>892.04</v>
      </c>
      <c r="H14" s="270"/>
      <c r="I14" s="271"/>
      <c r="J14" s="271"/>
      <c r="K14" s="55"/>
    </row>
    <row r="15" spans="1:11" s="14" customFormat="1" ht="13.5" customHeight="1">
      <c r="A15" s="268" t="s">
        <v>104</v>
      </c>
      <c r="B15" s="269"/>
      <c r="C15" s="269"/>
      <c r="D15" s="269"/>
      <c r="E15" s="269"/>
      <c r="F15" s="42">
        <v>0</v>
      </c>
      <c r="G15" s="42">
        <v>0</v>
      </c>
      <c r="H15" s="270"/>
      <c r="I15" s="271"/>
      <c r="J15" s="271"/>
      <c r="K15" s="55"/>
    </row>
    <row r="16" spans="1:11" s="40" customFormat="1" ht="12.75" customHeight="1" thickBot="1">
      <c r="A16" s="287" t="s">
        <v>107</v>
      </c>
      <c r="B16" s="288"/>
      <c r="C16" s="288"/>
      <c r="D16" s="288"/>
      <c r="E16" s="288"/>
      <c r="F16" s="46">
        <f>F11+F12+F13+F14+F15</f>
        <v>444227.262</v>
      </c>
      <c r="G16" s="46">
        <f>G11+G12+G13+G14+G15</f>
        <v>441344.49999999994</v>
      </c>
      <c r="H16" s="276"/>
      <c r="I16" s="277"/>
      <c r="J16" s="277"/>
      <c r="K16" s="56"/>
    </row>
    <row r="17" spans="1:11" s="86" customFormat="1" ht="13.5" customHeight="1" thickBot="1">
      <c r="A17" s="58"/>
      <c r="B17" s="58"/>
      <c r="C17" s="58"/>
      <c r="D17" s="58"/>
      <c r="E17" s="58"/>
      <c r="F17" s="59"/>
      <c r="G17" s="59"/>
      <c r="H17" s="61"/>
      <c r="I17" s="64"/>
      <c r="J17" s="64"/>
      <c r="K17" s="62"/>
    </row>
    <row r="18" spans="1:11" ht="12.75">
      <c r="A18" s="87">
        <v>1</v>
      </c>
      <c r="B18" s="99" t="s">
        <v>56</v>
      </c>
      <c r="C18" s="100" t="s">
        <v>77</v>
      </c>
      <c r="D18" s="89"/>
      <c r="E18" s="90"/>
      <c r="F18" s="101">
        <v>150000</v>
      </c>
      <c r="G18" s="252">
        <f>26531.25+1620</f>
        <v>28151.25</v>
      </c>
      <c r="H18" s="89">
        <v>2013</v>
      </c>
      <c r="I18" s="89">
        <v>2013</v>
      </c>
      <c r="J18" s="102" t="s">
        <v>3</v>
      </c>
      <c r="K18" s="103"/>
    </row>
    <row r="19" spans="1:11" ht="12.75">
      <c r="A19" s="30">
        <v>2</v>
      </c>
      <c r="B19" s="31" t="s">
        <v>136</v>
      </c>
      <c r="C19" s="31" t="s">
        <v>111</v>
      </c>
      <c r="D19" s="4"/>
      <c r="E19" s="4"/>
      <c r="F19" s="32">
        <v>60000</v>
      </c>
      <c r="G19" s="213">
        <f>6662.52+2507.4+4421.95+2507.4</f>
        <v>16099.269999999999</v>
      </c>
      <c r="H19" s="4">
        <v>2013</v>
      </c>
      <c r="I19" s="4">
        <v>2013</v>
      </c>
      <c r="J19" s="35" t="s">
        <v>3</v>
      </c>
      <c r="K19" s="33"/>
    </row>
    <row r="20" spans="1:11" ht="12.75">
      <c r="A20" s="30">
        <v>3</v>
      </c>
      <c r="B20" s="31"/>
      <c r="C20" s="31" t="s">
        <v>125</v>
      </c>
      <c r="D20" s="78" t="s">
        <v>131</v>
      </c>
      <c r="E20" s="4"/>
      <c r="F20" s="32">
        <v>10000</v>
      </c>
      <c r="G20" s="213">
        <f>1107*5</f>
        <v>5535</v>
      </c>
      <c r="H20" s="4">
        <v>2013</v>
      </c>
      <c r="I20" s="4">
        <v>2013</v>
      </c>
      <c r="J20" s="2" t="s">
        <v>3</v>
      </c>
      <c r="K20" s="33"/>
    </row>
    <row r="21" spans="1:11" ht="12.75">
      <c r="A21" s="30">
        <v>4</v>
      </c>
      <c r="B21" s="31"/>
      <c r="C21" s="31" t="s">
        <v>21</v>
      </c>
      <c r="D21" s="78"/>
      <c r="E21" s="4"/>
      <c r="F21" s="32">
        <v>30000</v>
      </c>
      <c r="G21" s="213"/>
      <c r="H21" s="4"/>
      <c r="I21" s="4"/>
      <c r="J21" s="2" t="s">
        <v>4</v>
      </c>
      <c r="K21" s="33"/>
    </row>
    <row r="22" spans="1:11" ht="12.75">
      <c r="A22" s="30">
        <v>5</v>
      </c>
      <c r="B22" s="160" t="s">
        <v>182</v>
      </c>
      <c r="C22" s="160" t="s">
        <v>181</v>
      </c>
      <c r="D22" s="158"/>
      <c r="E22" s="158"/>
      <c r="F22" s="161"/>
      <c r="G22" s="208">
        <v>3089.25</v>
      </c>
      <c r="H22" s="158" t="s">
        <v>116</v>
      </c>
      <c r="I22" s="158">
        <v>2013</v>
      </c>
      <c r="J22" s="95" t="s">
        <v>3</v>
      </c>
      <c r="K22" s="33"/>
    </row>
    <row r="23" spans="1:11" ht="12.75">
      <c r="A23" s="24">
        <v>6</v>
      </c>
      <c r="B23" s="168" t="s">
        <v>183</v>
      </c>
      <c r="C23" s="168" t="s">
        <v>144</v>
      </c>
      <c r="D23" s="95"/>
      <c r="E23" s="95"/>
      <c r="F23" s="157"/>
      <c r="G23" s="221">
        <f>3227.04+6696+756</f>
        <v>10679.04</v>
      </c>
      <c r="H23" s="95"/>
      <c r="I23" s="95">
        <v>2013</v>
      </c>
      <c r="J23" s="155" t="s">
        <v>3</v>
      </c>
      <c r="K23" s="25"/>
    </row>
    <row r="24" spans="1:11" ht="12.75">
      <c r="A24" s="29">
        <v>7</v>
      </c>
      <c r="B24" s="28"/>
      <c r="C24" s="173" t="s">
        <v>161</v>
      </c>
      <c r="D24" s="155"/>
      <c r="E24" s="95"/>
      <c r="F24" s="169"/>
      <c r="G24" s="221">
        <v>487.6</v>
      </c>
      <c r="H24" s="95"/>
      <c r="I24" s="95">
        <v>2013</v>
      </c>
      <c r="J24" s="155" t="s">
        <v>4</v>
      </c>
      <c r="K24" s="25"/>
    </row>
    <row r="25" spans="1:11" ht="12.75">
      <c r="A25" s="29">
        <v>8</v>
      </c>
      <c r="B25" s="163" t="s">
        <v>184</v>
      </c>
      <c r="C25" s="166" t="s">
        <v>217</v>
      </c>
      <c r="D25" s="164"/>
      <c r="E25" s="158"/>
      <c r="F25" s="165"/>
      <c r="G25" s="208">
        <f>486+486+486</f>
        <v>1458</v>
      </c>
      <c r="H25" s="158"/>
      <c r="I25" s="158">
        <v>2013</v>
      </c>
      <c r="J25" s="155" t="s">
        <v>3</v>
      </c>
      <c r="K25" s="25"/>
    </row>
    <row r="26" spans="1:11" ht="12.75">
      <c r="A26" s="29">
        <v>9</v>
      </c>
      <c r="B26" s="51"/>
      <c r="C26" s="53"/>
      <c r="D26" s="35"/>
      <c r="E26" s="4"/>
      <c r="F26" s="65"/>
      <c r="G26" s="32"/>
      <c r="H26" s="4"/>
      <c r="I26" s="4"/>
      <c r="J26" s="35"/>
      <c r="K26" s="25"/>
    </row>
    <row r="27" spans="1:11" ht="12.75">
      <c r="A27" s="29">
        <v>10</v>
      </c>
      <c r="B27" s="51"/>
      <c r="C27" s="53"/>
      <c r="D27" s="35"/>
      <c r="E27" s="4"/>
      <c r="F27" s="65"/>
      <c r="G27" s="32"/>
      <c r="H27" s="4"/>
      <c r="I27" s="4"/>
      <c r="J27" s="35"/>
      <c r="K27" s="25"/>
    </row>
    <row r="28" spans="1:11" ht="12.75">
      <c r="A28" s="29">
        <v>11</v>
      </c>
      <c r="B28" s="51"/>
      <c r="C28" s="53"/>
      <c r="D28" s="35"/>
      <c r="E28" s="4"/>
      <c r="F28" s="65"/>
      <c r="G28" s="32"/>
      <c r="H28" s="4"/>
      <c r="I28" s="4"/>
      <c r="J28" s="35"/>
      <c r="K28" s="25"/>
    </row>
    <row r="29" spans="1:11" ht="12.75">
      <c r="A29" s="29">
        <v>12</v>
      </c>
      <c r="B29" s="51"/>
      <c r="C29" s="53"/>
      <c r="D29" s="35"/>
      <c r="E29" s="4"/>
      <c r="F29" s="65"/>
      <c r="G29" s="32"/>
      <c r="H29" s="4"/>
      <c r="I29" s="4"/>
      <c r="J29" s="35"/>
      <c r="K29" s="25"/>
    </row>
    <row r="30" spans="1:11" ht="12.75">
      <c r="A30" s="29">
        <v>13</v>
      </c>
      <c r="B30" s="51"/>
      <c r="C30" s="53"/>
      <c r="D30" s="35"/>
      <c r="E30" s="4"/>
      <c r="F30" s="65"/>
      <c r="G30" s="32"/>
      <c r="H30" s="4"/>
      <c r="I30" s="4"/>
      <c r="J30" s="35"/>
      <c r="K30" s="25"/>
    </row>
    <row r="31" spans="1:11" ht="12.75">
      <c r="A31" s="29">
        <v>14</v>
      </c>
      <c r="B31" s="51"/>
      <c r="C31" s="53"/>
      <c r="D31" s="35"/>
      <c r="E31" s="4"/>
      <c r="F31" s="65"/>
      <c r="G31" s="32"/>
      <c r="H31" s="4"/>
      <c r="I31" s="4"/>
      <c r="J31" s="35"/>
      <c r="K31" s="25"/>
    </row>
    <row r="32" spans="1:11" ht="12.75">
      <c r="A32" s="29">
        <v>15</v>
      </c>
      <c r="B32" s="28"/>
      <c r="C32" s="52"/>
      <c r="D32" s="26"/>
      <c r="E32" s="2"/>
      <c r="F32" s="66"/>
      <c r="G32" s="3"/>
      <c r="H32" s="2"/>
      <c r="I32" s="2"/>
      <c r="J32" s="26"/>
      <c r="K32" s="25"/>
    </row>
    <row r="33" spans="1:11" ht="13.5" thickBot="1">
      <c r="A33" s="104">
        <v>16</v>
      </c>
      <c r="B33" s="105"/>
      <c r="C33" s="106"/>
      <c r="D33" s="107"/>
      <c r="E33" s="108"/>
      <c r="F33" s="109"/>
      <c r="G33" s="110"/>
      <c r="H33" s="108"/>
      <c r="I33" s="108"/>
      <c r="J33" s="107"/>
      <c r="K33" s="111"/>
    </row>
    <row r="34" spans="1:11" ht="13.5" thickBot="1">
      <c r="A34" s="79"/>
      <c r="B34" s="80"/>
      <c r="C34" s="44"/>
      <c r="D34" s="81"/>
      <c r="E34" s="21"/>
      <c r="F34" s="77"/>
      <c r="G34" s="37"/>
      <c r="H34" s="21"/>
      <c r="I34" s="21"/>
      <c r="J34" s="81"/>
      <c r="K34" s="48"/>
    </row>
    <row r="35" spans="1:11" s="14" customFormat="1" ht="13.5" customHeight="1">
      <c r="A35" s="264" t="s">
        <v>53</v>
      </c>
      <c r="B35" s="265"/>
      <c r="C35" s="265"/>
      <c r="D35" s="265"/>
      <c r="E35" s="265"/>
      <c r="F35" s="45">
        <f>SUM(F18:F33)</f>
        <v>250000</v>
      </c>
      <c r="G35" s="45">
        <f>SUM(G18:G33)</f>
        <v>65499.409999999996</v>
      </c>
      <c r="H35" s="266"/>
      <c r="I35" s="267"/>
      <c r="J35" s="267"/>
      <c r="K35" s="94"/>
    </row>
    <row r="36" spans="1:11" s="14" customFormat="1" ht="13.5" customHeight="1">
      <c r="A36" s="112"/>
      <c r="B36" s="278" t="s">
        <v>24</v>
      </c>
      <c r="C36" s="279"/>
      <c r="D36" s="280"/>
      <c r="E36" s="281"/>
      <c r="F36" s="113"/>
      <c r="G36" s="113"/>
      <c r="H36" s="282"/>
      <c r="I36" s="283"/>
      <c r="J36" s="283"/>
      <c r="K36" s="54"/>
    </row>
    <row r="37" spans="1:11" s="14" customFormat="1" ht="13.5" customHeight="1">
      <c r="A37" s="112"/>
      <c r="B37" s="278"/>
      <c r="C37" s="284"/>
      <c r="D37" s="280"/>
      <c r="E37" s="281"/>
      <c r="F37" s="114"/>
      <c r="G37" s="114"/>
      <c r="H37" s="270"/>
      <c r="I37" s="279"/>
      <c r="J37" s="279"/>
      <c r="K37" s="55"/>
    </row>
    <row r="38" spans="1:11" s="14" customFormat="1" ht="13.5" customHeight="1">
      <c r="A38" s="115"/>
      <c r="B38" s="278" t="s">
        <v>4</v>
      </c>
      <c r="C38" s="293"/>
      <c r="D38" s="280"/>
      <c r="E38" s="281"/>
      <c r="F38" s="43">
        <f>F21+F24</f>
        <v>30000</v>
      </c>
      <c r="G38" s="43">
        <f>G21+G24</f>
        <v>487.6</v>
      </c>
      <c r="H38" s="294"/>
      <c r="I38" s="295"/>
      <c r="J38" s="295"/>
      <c r="K38" s="57"/>
    </row>
    <row r="39" spans="1:11" s="14" customFormat="1" ht="13.5" customHeight="1">
      <c r="A39" s="115"/>
      <c r="B39" s="291" t="s">
        <v>3</v>
      </c>
      <c r="C39" s="291"/>
      <c r="D39" s="292"/>
      <c r="E39" s="292"/>
      <c r="F39" s="43">
        <f>F35-F37-F38</f>
        <v>220000</v>
      </c>
      <c r="G39" s="43">
        <f>G35-G37-G38</f>
        <v>65011.81</v>
      </c>
      <c r="H39" s="289"/>
      <c r="I39" s="290"/>
      <c r="J39" s="290"/>
      <c r="K39" s="36"/>
    </row>
    <row r="40" spans="1:11" s="14" customFormat="1" ht="13.5" customHeight="1" thickBot="1">
      <c r="A40" s="274" t="s">
        <v>121</v>
      </c>
      <c r="B40" s="275"/>
      <c r="C40" s="275"/>
      <c r="D40" s="275"/>
      <c r="E40" s="275"/>
      <c r="F40" s="47">
        <f>F16-F35</f>
        <v>194227.262</v>
      </c>
      <c r="G40" s="47">
        <f>G16-G35</f>
        <v>375845.08999999997</v>
      </c>
      <c r="H40" s="276"/>
      <c r="I40" s="277"/>
      <c r="J40" s="277"/>
      <c r="K40" s="56"/>
    </row>
    <row r="41" spans="1:11" s="63" customFormat="1" ht="13.5" customHeight="1">
      <c r="A41" s="58"/>
      <c r="B41" s="58"/>
      <c r="C41" s="58"/>
      <c r="D41" s="58"/>
      <c r="E41" s="58"/>
      <c r="F41" s="59"/>
      <c r="G41" s="59"/>
      <c r="H41" s="61"/>
      <c r="I41" s="64"/>
      <c r="J41" s="64"/>
      <c r="K41" s="62"/>
    </row>
    <row r="42" spans="1:11" s="10" customFormat="1" ht="11.25">
      <c r="A42" s="21"/>
      <c r="B42" s="49"/>
      <c r="C42" s="21"/>
      <c r="D42" s="21"/>
      <c r="E42" s="21"/>
      <c r="F42" s="50"/>
      <c r="G42" s="37"/>
      <c r="H42" s="21"/>
      <c r="I42" s="21"/>
      <c r="J42" s="21"/>
      <c r="K42" s="23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  <row r="63" ht="12.75">
      <c r="K63" s="1"/>
    </row>
  </sheetData>
  <sheetProtection/>
  <mergeCells count="38">
    <mergeCell ref="H38:J38"/>
    <mergeCell ref="B39:E39"/>
    <mergeCell ref="H39:J39"/>
    <mergeCell ref="B38:E38"/>
    <mergeCell ref="A40:E40"/>
    <mergeCell ref="H40:J40"/>
    <mergeCell ref="B37:E37"/>
    <mergeCell ref="H37:J37"/>
    <mergeCell ref="A16:E16"/>
    <mergeCell ref="H16:J16"/>
    <mergeCell ref="A35:E35"/>
    <mergeCell ref="H35:J35"/>
    <mergeCell ref="B36:E36"/>
    <mergeCell ref="H36:J36"/>
    <mergeCell ref="A14:E14"/>
    <mergeCell ref="H14:J14"/>
    <mergeCell ref="A15:E15"/>
    <mergeCell ref="H15:J15"/>
    <mergeCell ref="A12:E12"/>
    <mergeCell ref="H12:J12"/>
    <mergeCell ref="A13:E13"/>
    <mergeCell ref="H13:J13"/>
    <mergeCell ref="I6:I7"/>
    <mergeCell ref="J6:J7"/>
    <mergeCell ref="K6:K7"/>
    <mergeCell ref="A9:K9"/>
    <mergeCell ref="G6:G7"/>
    <mergeCell ref="H6:H7"/>
    <mergeCell ref="A11:E11"/>
    <mergeCell ref="H11:J11"/>
    <mergeCell ref="A3:K3"/>
    <mergeCell ref="A4:K4"/>
    <mergeCell ref="A6:A7"/>
    <mergeCell ref="B6:B7"/>
    <mergeCell ref="C6:C7"/>
    <mergeCell ref="D6:D7"/>
    <mergeCell ref="E6:E7"/>
    <mergeCell ref="F6:F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63"/>
  <sheetViews>
    <sheetView zoomScale="150" zoomScaleNormal="150" zoomScalePageLayoutView="0" workbookViewId="0" topLeftCell="A12">
      <selection activeCell="G20" sqref="G20:G24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7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201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138</v>
      </c>
      <c r="I2" s="10"/>
      <c r="J2" s="10"/>
      <c r="K2" s="10"/>
    </row>
    <row r="3" spans="1:12" ht="12.75" customHeight="1">
      <c r="A3" s="253" t="s">
        <v>117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39"/>
    </row>
    <row r="4" spans="1:11" ht="12.75" customHeight="1">
      <c r="A4" s="253" t="s">
        <v>200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55" t="s">
        <v>9</v>
      </c>
      <c r="B6" s="257" t="s">
        <v>0</v>
      </c>
      <c r="C6" s="257" t="s">
        <v>1</v>
      </c>
      <c r="D6" s="257" t="s">
        <v>10</v>
      </c>
      <c r="E6" s="257" t="s">
        <v>11</v>
      </c>
      <c r="F6" s="257" t="s">
        <v>12</v>
      </c>
      <c r="G6" s="311" t="s">
        <v>13</v>
      </c>
      <c r="H6" s="257" t="s">
        <v>14</v>
      </c>
      <c r="I6" s="257" t="s">
        <v>15</v>
      </c>
      <c r="J6" s="257" t="s">
        <v>16</v>
      </c>
      <c r="K6" s="259" t="s">
        <v>2</v>
      </c>
    </row>
    <row r="7" spans="1:11" ht="13.5" thickBot="1">
      <c r="A7" s="256"/>
      <c r="B7" s="258"/>
      <c r="C7" s="258"/>
      <c r="D7" s="258"/>
      <c r="E7" s="258"/>
      <c r="F7" s="258"/>
      <c r="G7" s="312"/>
      <c r="H7" s="258"/>
      <c r="I7" s="258"/>
      <c r="J7" s="258"/>
      <c r="K7" s="260"/>
    </row>
    <row r="8" spans="1:11" ht="13.5" thickBot="1">
      <c r="A8" s="38"/>
      <c r="B8" s="38"/>
      <c r="C8" s="38"/>
      <c r="D8" s="38"/>
      <c r="E8" s="38"/>
      <c r="F8" s="38"/>
      <c r="G8" s="138"/>
      <c r="H8" s="38"/>
      <c r="I8" s="38"/>
      <c r="J8" s="38"/>
      <c r="K8" s="38"/>
    </row>
    <row r="9" spans="1:11" ht="21" customHeight="1" thickBot="1">
      <c r="A9" s="261" t="s">
        <v>68</v>
      </c>
      <c r="B9" s="262"/>
      <c r="C9" s="262"/>
      <c r="D9" s="262"/>
      <c r="E9" s="262"/>
      <c r="F9" s="262"/>
      <c r="G9" s="262"/>
      <c r="H9" s="262"/>
      <c r="I9" s="262"/>
      <c r="J9" s="262"/>
      <c r="K9" s="263"/>
    </row>
    <row r="10" spans="1:11" s="14" customFormat="1" ht="12.75" customHeight="1">
      <c r="A10" s="15"/>
      <c r="B10" s="16"/>
      <c r="C10" s="16" t="s">
        <v>17</v>
      </c>
      <c r="D10" s="17">
        <v>5787</v>
      </c>
      <c r="E10" s="18" t="s">
        <v>6</v>
      </c>
      <c r="F10" s="19"/>
      <c r="G10" s="139"/>
      <c r="H10" s="11" t="s">
        <v>8</v>
      </c>
      <c r="I10" s="12">
        <v>1.2</v>
      </c>
      <c r="J10" s="13" t="s">
        <v>7</v>
      </c>
      <c r="K10" s="20"/>
    </row>
    <row r="11" spans="1:11" s="14" customFormat="1" ht="13.5" customHeight="1">
      <c r="A11" s="272" t="s">
        <v>118</v>
      </c>
      <c r="B11" s="273"/>
      <c r="C11" s="273"/>
      <c r="D11" s="273"/>
      <c r="E11" s="273"/>
      <c r="F11" s="42">
        <v>22048.67</v>
      </c>
      <c r="G11" s="42">
        <v>32671.09</v>
      </c>
      <c r="H11" s="270"/>
      <c r="I11" s="271"/>
      <c r="J11" s="271"/>
      <c r="K11" s="55"/>
    </row>
    <row r="12" spans="1:11" s="14" customFormat="1" ht="13.5" customHeight="1">
      <c r="A12" s="268" t="s">
        <v>34</v>
      </c>
      <c r="B12" s="269"/>
      <c r="C12" s="269"/>
      <c r="D12" s="269"/>
      <c r="E12" s="269"/>
      <c r="F12" s="42">
        <f>D10*I10*12</f>
        <v>83332.79999999999</v>
      </c>
      <c r="G12" s="42">
        <v>83333.4</v>
      </c>
      <c r="H12" s="270"/>
      <c r="I12" s="271"/>
      <c r="J12" s="271"/>
      <c r="K12" s="55"/>
    </row>
    <row r="13" spans="1:11" s="14" customFormat="1" ht="13.5" customHeight="1">
      <c r="A13" s="268" t="s">
        <v>50</v>
      </c>
      <c r="B13" s="269"/>
      <c r="C13" s="269"/>
      <c r="D13" s="269"/>
      <c r="E13" s="269"/>
      <c r="F13" s="42">
        <f>-(D10*12*0)</f>
        <v>0</v>
      </c>
      <c r="G13" s="42">
        <v>0</v>
      </c>
      <c r="H13" s="270"/>
      <c r="I13" s="271"/>
      <c r="J13" s="271"/>
      <c r="K13" s="55"/>
    </row>
    <row r="14" spans="1:11" s="41" customFormat="1" ht="12.75" customHeight="1">
      <c r="A14" s="272" t="s">
        <v>55</v>
      </c>
      <c r="B14" s="273"/>
      <c r="C14" s="273"/>
      <c r="D14" s="273"/>
      <c r="E14" s="273"/>
      <c r="F14" s="42">
        <v>0</v>
      </c>
      <c r="G14" s="42">
        <v>0</v>
      </c>
      <c r="H14" s="270"/>
      <c r="I14" s="271"/>
      <c r="J14" s="271"/>
      <c r="K14" s="55"/>
    </row>
    <row r="15" spans="1:11" s="14" customFormat="1" ht="13.5" customHeight="1">
      <c r="A15" s="268" t="s">
        <v>104</v>
      </c>
      <c r="B15" s="269"/>
      <c r="C15" s="269"/>
      <c r="D15" s="269"/>
      <c r="E15" s="269"/>
      <c r="F15" s="42">
        <v>0</v>
      </c>
      <c r="G15" s="42">
        <v>0</v>
      </c>
      <c r="H15" s="270"/>
      <c r="I15" s="271"/>
      <c r="J15" s="271"/>
      <c r="K15" s="55"/>
    </row>
    <row r="16" spans="1:11" s="40" customFormat="1" ht="12.75" customHeight="1" thickBot="1">
      <c r="A16" s="287" t="s">
        <v>107</v>
      </c>
      <c r="B16" s="288"/>
      <c r="C16" s="288"/>
      <c r="D16" s="288"/>
      <c r="E16" s="288"/>
      <c r="F16" s="46">
        <f>F11+F12+F13+F14+F15</f>
        <v>105381.46999999999</v>
      </c>
      <c r="G16" s="46">
        <f>G11+G12+G13+G14+G15</f>
        <v>116004.48999999999</v>
      </c>
      <c r="H16" s="276"/>
      <c r="I16" s="277"/>
      <c r="J16" s="277"/>
      <c r="K16" s="56"/>
    </row>
    <row r="17" spans="1:11" s="86" customFormat="1" ht="13.5" customHeight="1" thickBot="1">
      <c r="A17" s="58"/>
      <c r="B17" s="58"/>
      <c r="C17" s="58"/>
      <c r="D17" s="58"/>
      <c r="E17" s="58"/>
      <c r="F17" s="59"/>
      <c r="G17" s="59"/>
      <c r="H17" s="61"/>
      <c r="I17" s="64"/>
      <c r="J17" s="64"/>
      <c r="K17" s="62"/>
    </row>
    <row r="18" spans="1:11" ht="12.75">
      <c r="A18" s="120">
        <v>1</v>
      </c>
      <c r="B18" s="97" t="s">
        <v>25</v>
      </c>
      <c r="C18" s="97" t="s">
        <v>122</v>
      </c>
      <c r="D18" s="92"/>
      <c r="E18" s="92"/>
      <c r="F18" s="98">
        <v>50000</v>
      </c>
      <c r="G18" s="246">
        <v>31889.82</v>
      </c>
      <c r="H18" s="92">
        <v>2013</v>
      </c>
      <c r="I18" s="92">
        <v>2013</v>
      </c>
      <c r="J18" s="92" t="s">
        <v>3</v>
      </c>
      <c r="K18" s="121"/>
    </row>
    <row r="19" spans="1:11" ht="12.75">
      <c r="A19" s="30">
        <v>2</v>
      </c>
      <c r="B19" s="31" t="s">
        <v>25</v>
      </c>
      <c r="C19" s="31" t="s">
        <v>125</v>
      </c>
      <c r="D19" s="4"/>
      <c r="E19" s="4"/>
      <c r="F19" s="32">
        <v>2000</v>
      </c>
      <c r="G19" s="213">
        <v>1107</v>
      </c>
      <c r="H19" s="4">
        <v>2013</v>
      </c>
      <c r="I19" s="4">
        <v>2013</v>
      </c>
      <c r="J19" s="4" t="s">
        <v>3</v>
      </c>
      <c r="K19" s="33"/>
    </row>
    <row r="20" spans="1:11" ht="12.75">
      <c r="A20" s="30">
        <v>3</v>
      </c>
      <c r="B20" s="31"/>
      <c r="C20" s="31" t="s">
        <v>21</v>
      </c>
      <c r="D20" s="4"/>
      <c r="E20" s="4"/>
      <c r="F20" s="32">
        <v>30000</v>
      </c>
      <c r="G20" s="208"/>
      <c r="H20" s="4">
        <v>2013</v>
      </c>
      <c r="I20" s="4">
        <v>2013</v>
      </c>
      <c r="J20" s="35" t="s">
        <v>4</v>
      </c>
      <c r="K20" s="33"/>
    </row>
    <row r="21" spans="1:11" ht="12.75">
      <c r="A21" s="30">
        <v>4</v>
      </c>
      <c r="B21" s="31"/>
      <c r="C21" s="160" t="s">
        <v>157</v>
      </c>
      <c r="D21" s="158"/>
      <c r="E21" s="158"/>
      <c r="F21" s="161"/>
      <c r="G21" s="208">
        <v>882</v>
      </c>
      <c r="H21" s="158"/>
      <c r="I21" s="158"/>
      <c r="J21" s="95" t="s">
        <v>3</v>
      </c>
      <c r="K21" s="33"/>
    </row>
    <row r="22" spans="1:11" ht="12.75">
      <c r="A22" s="30">
        <v>5</v>
      </c>
      <c r="B22" s="31"/>
      <c r="C22" s="160" t="s">
        <v>145</v>
      </c>
      <c r="D22" s="158"/>
      <c r="E22" s="158"/>
      <c r="F22" s="161"/>
      <c r="G22" s="208">
        <v>6150</v>
      </c>
      <c r="H22" s="158"/>
      <c r="I22" s="158"/>
      <c r="J22" s="95" t="s">
        <v>3</v>
      </c>
      <c r="K22" s="33"/>
    </row>
    <row r="23" spans="1:11" ht="12.75">
      <c r="A23" s="24">
        <v>6</v>
      </c>
      <c r="B23" s="22"/>
      <c r="C23" s="166" t="s">
        <v>189</v>
      </c>
      <c r="D23" s="164"/>
      <c r="E23" s="158"/>
      <c r="F23" s="165"/>
      <c r="G23" s="208">
        <v>7983.81</v>
      </c>
      <c r="H23" s="95"/>
      <c r="I23" s="95"/>
      <c r="J23" s="155" t="s">
        <v>3</v>
      </c>
      <c r="K23" s="25"/>
    </row>
    <row r="24" spans="1:11" ht="12.75">
      <c r="A24" s="29">
        <v>7</v>
      </c>
      <c r="B24" s="28"/>
      <c r="C24" s="173" t="s">
        <v>165</v>
      </c>
      <c r="D24" s="155"/>
      <c r="E24" s="95"/>
      <c r="F24" s="169"/>
      <c r="G24" s="221">
        <v>3818.18</v>
      </c>
      <c r="H24" s="95"/>
      <c r="I24" s="95"/>
      <c r="J24" s="155" t="s">
        <v>4</v>
      </c>
      <c r="K24" s="25"/>
    </row>
    <row r="25" spans="1:11" ht="12.75">
      <c r="A25" s="29">
        <v>8</v>
      </c>
      <c r="B25" s="51"/>
      <c r="C25" s="166"/>
      <c r="D25" s="164"/>
      <c r="E25" s="158"/>
      <c r="F25" s="165"/>
      <c r="G25" s="208"/>
      <c r="H25" s="158"/>
      <c r="I25" s="158"/>
      <c r="J25" s="155"/>
      <c r="K25" s="25"/>
    </row>
    <row r="26" spans="1:11" ht="12.75">
      <c r="A26" s="29">
        <v>9</v>
      </c>
      <c r="B26" s="51"/>
      <c r="C26" s="53"/>
      <c r="D26" s="35"/>
      <c r="E26" s="4"/>
      <c r="F26" s="65"/>
      <c r="G26" s="213"/>
      <c r="H26" s="4"/>
      <c r="I26" s="4"/>
      <c r="J26" s="35"/>
      <c r="K26" s="25"/>
    </row>
    <row r="27" spans="1:11" ht="12.75">
      <c r="A27" s="29">
        <v>10</v>
      </c>
      <c r="B27" s="51"/>
      <c r="C27" s="53"/>
      <c r="D27" s="35"/>
      <c r="E27" s="4"/>
      <c r="F27" s="65"/>
      <c r="G27" s="213"/>
      <c r="H27" s="4"/>
      <c r="I27" s="4"/>
      <c r="J27" s="35"/>
      <c r="K27" s="25"/>
    </row>
    <row r="28" spans="1:11" ht="12.75">
      <c r="A28" s="29">
        <v>11</v>
      </c>
      <c r="B28" s="51"/>
      <c r="C28" s="53"/>
      <c r="D28" s="35"/>
      <c r="E28" s="4"/>
      <c r="F28" s="65"/>
      <c r="G28" s="32"/>
      <c r="H28" s="4"/>
      <c r="I28" s="4"/>
      <c r="J28" s="35"/>
      <c r="K28" s="25"/>
    </row>
    <row r="29" spans="1:11" ht="12.75">
      <c r="A29" s="29">
        <v>12</v>
      </c>
      <c r="B29" s="51"/>
      <c r="C29" s="53"/>
      <c r="D29" s="35"/>
      <c r="E29" s="4"/>
      <c r="F29" s="65"/>
      <c r="G29" s="32"/>
      <c r="H29" s="4"/>
      <c r="I29" s="4"/>
      <c r="J29" s="35"/>
      <c r="K29" s="25"/>
    </row>
    <row r="30" spans="1:11" ht="12.75">
      <c r="A30" s="29">
        <v>13</v>
      </c>
      <c r="B30" s="51"/>
      <c r="C30" s="53"/>
      <c r="D30" s="35"/>
      <c r="E30" s="4"/>
      <c r="F30" s="65"/>
      <c r="G30" s="32"/>
      <c r="H30" s="4"/>
      <c r="I30" s="4"/>
      <c r="J30" s="35"/>
      <c r="K30" s="25"/>
    </row>
    <row r="31" spans="1:11" ht="12.75">
      <c r="A31" s="29">
        <v>14</v>
      </c>
      <c r="B31" s="51"/>
      <c r="C31" s="53"/>
      <c r="D31" s="35"/>
      <c r="E31" s="4"/>
      <c r="F31" s="65"/>
      <c r="G31" s="32"/>
      <c r="H31" s="4"/>
      <c r="I31" s="4"/>
      <c r="J31" s="35"/>
      <c r="K31" s="25"/>
    </row>
    <row r="32" spans="1:11" ht="12.75">
      <c r="A32" s="29">
        <v>15</v>
      </c>
      <c r="B32" s="28"/>
      <c r="C32" s="52"/>
      <c r="D32" s="26"/>
      <c r="E32" s="2"/>
      <c r="F32" s="66"/>
      <c r="G32" s="3"/>
      <c r="H32" s="2"/>
      <c r="I32" s="2"/>
      <c r="J32" s="26"/>
      <c r="K32" s="25"/>
    </row>
    <row r="33" spans="1:11" ht="13.5" thickBot="1">
      <c r="A33" s="104">
        <v>16</v>
      </c>
      <c r="B33" s="105"/>
      <c r="C33" s="106"/>
      <c r="D33" s="107"/>
      <c r="E33" s="108"/>
      <c r="F33" s="109"/>
      <c r="G33" s="110"/>
      <c r="H33" s="108"/>
      <c r="I33" s="108"/>
      <c r="J33" s="107"/>
      <c r="K33" s="111"/>
    </row>
    <row r="34" spans="1:11" ht="13.5" thickBot="1">
      <c r="A34" s="79"/>
      <c r="B34" s="80"/>
      <c r="C34" s="44"/>
      <c r="D34" s="81"/>
      <c r="E34" s="21"/>
      <c r="F34" s="77"/>
      <c r="G34" s="37"/>
      <c r="H34" s="21"/>
      <c r="I34" s="21"/>
      <c r="J34" s="81"/>
      <c r="K34" s="48"/>
    </row>
    <row r="35" spans="1:11" s="14" customFormat="1" ht="13.5" customHeight="1">
      <c r="A35" s="264" t="s">
        <v>53</v>
      </c>
      <c r="B35" s="265"/>
      <c r="C35" s="265"/>
      <c r="D35" s="265"/>
      <c r="E35" s="265"/>
      <c r="F35" s="45">
        <f>SUM(F18:F33)</f>
        <v>82000</v>
      </c>
      <c r="G35" s="45">
        <f>SUM(G18:G33)</f>
        <v>51830.81</v>
      </c>
      <c r="H35" s="266"/>
      <c r="I35" s="267"/>
      <c r="J35" s="267"/>
      <c r="K35" s="94"/>
    </row>
    <row r="36" spans="1:11" s="14" customFormat="1" ht="13.5" customHeight="1">
      <c r="A36" s="112"/>
      <c r="B36" s="278" t="s">
        <v>24</v>
      </c>
      <c r="C36" s="279"/>
      <c r="D36" s="280"/>
      <c r="E36" s="281"/>
      <c r="F36" s="113"/>
      <c r="G36" s="113"/>
      <c r="H36" s="282"/>
      <c r="I36" s="283"/>
      <c r="J36" s="283"/>
      <c r="K36" s="54"/>
    </row>
    <row r="37" spans="1:11" s="14" customFormat="1" ht="13.5" customHeight="1">
      <c r="A37" s="112"/>
      <c r="B37" s="278"/>
      <c r="C37" s="284"/>
      <c r="D37" s="280"/>
      <c r="E37" s="281"/>
      <c r="F37" s="114"/>
      <c r="G37" s="114"/>
      <c r="H37" s="270"/>
      <c r="I37" s="279"/>
      <c r="J37" s="279"/>
      <c r="K37" s="55"/>
    </row>
    <row r="38" spans="1:11" s="14" customFormat="1" ht="13.5" customHeight="1">
      <c r="A38" s="115"/>
      <c r="B38" s="278" t="s">
        <v>4</v>
      </c>
      <c r="C38" s="293"/>
      <c r="D38" s="280"/>
      <c r="E38" s="281"/>
      <c r="F38" s="43">
        <f>F20+F24</f>
        <v>30000</v>
      </c>
      <c r="G38" s="43">
        <f>G20+G24</f>
        <v>3818.18</v>
      </c>
      <c r="H38" s="294"/>
      <c r="I38" s="295"/>
      <c r="J38" s="295"/>
      <c r="K38" s="57"/>
    </row>
    <row r="39" spans="1:11" s="14" customFormat="1" ht="13.5" customHeight="1">
      <c r="A39" s="115"/>
      <c r="B39" s="291" t="s">
        <v>3</v>
      </c>
      <c r="C39" s="291"/>
      <c r="D39" s="292"/>
      <c r="E39" s="292"/>
      <c r="F39" s="43">
        <f>F35-F37-F38</f>
        <v>52000</v>
      </c>
      <c r="G39" s="43">
        <f>G35-G37-G38</f>
        <v>48012.63</v>
      </c>
      <c r="H39" s="289"/>
      <c r="I39" s="290"/>
      <c r="J39" s="290"/>
      <c r="K39" s="36"/>
    </row>
    <row r="40" spans="1:11" s="14" customFormat="1" ht="13.5" customHeight="1" thickBot="1">
      <c r="A40" s="274" t="s">
        <v>121</v>
      </c>
      <c r="B40" s="275"/>
      <c r="C40" s="275"/>
      <c r="D40" s="275"/>
      <c r="E40" s="275"/>
      <c r="F40" s="47">
        <f>F16-F35</f>
        <v>23381.469999999987</v>
      </c>
      <c r="G40" s="47">
        <f>G16-G35</f>
        <v>64173.67999999999</v>
      </c>
      <c r="H40" s="276"/>
      <c r="I40" s="277"/>
      <c r="J40" s="277"/>
      <c r="K40" s="56"/>
    </row>
    <row r="41" spans="1:11" s="63" customFormat="1" ht="13.5" customHeight="1">
      <c r="A41" s="58"/>
      <c r="B41" s="58"/>
      <c r="C41" s="58"/>
      <c r="D41" s="58"/>
      <c r="E41" s="58"/>
      <c r="F41" s="59"/>
      <c r="G41" s="59"/>
      <c r="H41" s="61"/>
      <c r="I41" s="64"/>
      <c r="J41" s="64"/>
      <c r="K41" s="62"/>
    </row>
    <row r="42" spans="1:11" s="10" customFormat="1" ht="11.25">
      <c r="A42" s="21"/>
      <c r="B42" s="49"/>
      <c r="C42" s="21"/>
      <c r="D42" s="21"/>
      <c r="E42" s="21"/>
      <c r="F42" s="50"/>
      <c r="G42" s="37"/>
      <c r="H42" s="21"/>
      <c r="I42" s="21"/>
      <c r="J42" s="21"/>
      <c r="K42" s="23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  <row r="63" ht="12.75">
      <c r="K63" s="1"/>
    </row>
  </sheetData>
  <sheetProtection/>
  <mergeCells count="38">
    <mergeCell ref="B36:E36"/>
    <mergeCell ref="H36:J36"/>
    <mergeCell ref="B37:E37"/>
    <mergeCell ref="A35:E35"/>
    <mergeCell ref="H40:J40"/>
    <mergeCell ref="B38:E38"/>
    <mergeCell ref="H38:J38"/>
    <mergeCell ref="B39:E39"/>
    <mergeCell ref="I6:I7"/>
    <mergeCell ref="H37:J37"/>
    <mergeCell ref="A12:E12"/>
    <mergeCell ref="H39:J39"/>
    <mergeCell ref="A40:E40"/>
    <mergeCell ref="A16:E16"/>
    <mergeCell ref="H16:J16"/>
    <mergeCell ref="E6:E7"/>
    <mergeCell ref="H35:J35"/>
    <mergeCell ref="G6:G7"/>
    <mergeCell ref="H12:J12"/>
    <mergeCell ref="A13:E13"/>
    <mergeCell ref="H13:J13"/>
    <mergeCell ref="H15:J15"/>
    <mergeCell ref="A15:E15"/>
    <mergeCell ref="A9:K9"/>
    <mergeCell ref="A11:E11"/>
    <mergeCell ref="H11:J11"/>
    <mergeCell ref="A14:E14"/>
    <mergeCell ref="H14:J14"/>
    <mergeCell ref="A3:K3"/>
    <mergeCell ref="A4:K4"/>
    <mergeCell ref="A6:A7"/>
    <mergeCell ref="B6:B7"/>
    <mergeCell ref="C6:C7"/>
    <mergeCell ref="D6:D7"/>
    <mergeCell ref="K6:K7"/>
    <mergeCell ref="F6:F7"/>
    <mergeCell ref="J6:J7"/>
    <mergeCell ref="H6:H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63"/>
  <sheetViews>
    <sheetView zoomScale="150" zoomScaleNormal="150" zoomScalePageLayoutView="0" workbookViewId="0" topLeftCell="A12">
      <selection activeCell="C25" sqref="C25"/>
    </sheetView>
  </sheetViews>
  <sheetFormatPr defaultColWidth="9.140625" defaultRowHeight="12.75"/>
  <cols>
    <col min="1" max="1" width="3.7109375" style="0" customWidth="1"/>
    <col min="2" max="2" width="16.140625" style="0" customWidth="1"/>
    <col min="3" max="3" width="33.7109375" style="0" customWidth="1"/>
    <col min="4" max="4" width="9.7109375" style="0" customWidth="1"/>
    <col min="5" max="5" width="7.00390625" style="0" customWidth="1"/>
    <col min="6" max="6" width="10.7109375" style="5" customWidth="1"/>
    <col min="7" max="7" width="9.57421875" style="137" customWidth="1"/>
    <col min="8" max="8" width="12.57421875" style="0" customWidth="1"/>
    <col min="9" max="9" width="10.421875" style="0" customWidth="1"/>
    <col min="10" max="10" width="6.8515625" style="0" customWidth="1"/>
    <col min="11" max="11" width="12.57421875" style="0" customWidth="1"/>
    <col min="13" max="13" width="9.421875" style="0" bestFit="1" customWidth="1"/>
  </cols>
  <sheetData>
    <row r="1" spans="1:11" s="9" customFormat="1" ht="11.25">
      <c r="A1" s="10" t="s">
        <v>5</v>
      </c>
      <c r="B1" s="10"/>
      <c r="C1" s="10"/>
      <c r="D1" s="10"/>
      <c r="E1" s="10"/>
      <c r="F1" s="6"/>
      <c r="G1" s="6"/>
      <c r="H1" s="10"/>
      <c r="I1" s="10"/>
      <c r="J1" s="10" t="s">
        <v>201</v>
      </c>
      <c r="K1" s="10"/>
    </row>
    <row r="2" spans="1:11" s="9" customFormat="1" ht="11.25">
      <c r="A2" s="10"/>
      <c r="B2" s="10"/>
      <c r="C2" s="10"/>
      <c r="D2" s="10"/>
      <c r="E2" s="10"/>
      <c r="F2" s="6"/>
      <c r="G2" s="6"/>
      <c r="H2" s="95" t="s">
        <v>138</v>
      </c>
      <c r="I2" s="10"/>
      <c r="J2" s="10"/>
      <c r="K2" s="10"/>
    </row>
    <row r="3" spans="1:12" ht="12.75" customHeight="1">
      <c r="A3" s="253" t="s">
        <v>117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39"/>
    </row>
    <row r="4" spans="1:11" ht="12.75" customHeight="1">
      <c r="A4" s="253" t="s">
        <v>200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</row>
    <row r="5" spans="1:6" ht="15.75" thickBot="1">
      <c r="A5" s="7"/>
      <c r="B5" s="7"/>
      <c r="C5" s="7"/>
      <c r="D5" s="7"/>
      <c r="E5" s="7"/>
      <c r="F5" s="8"/>
    </row>
    <row r="6" spans="1:11" ht="12.75">
      <c r="A6" s="255" t="s">
        <v>9</v>
      </c>
      <c r="B6" s="257" t="s">
        <v>0</v>
      </c>
      <c r="C6" s="257" t="s">
        <v>1</v>
      </c>
      <c r="D6" s="257" t="s">
        <v>10</v>
      </c>
      <c r="E6" s="257" t="s">
        <v>11</v>
      </c>
      <c r="F6" s="257" t="s">
        <v>12</v>
      </c>
      <c r="G6" s="311" t="s">
        <v>13</v>
      </c>
      <c r="H6" s="257" t="s">
        <v>14</v>
      </c>
      <c r="I6" s="257" t="s">
        <v>15</v>
      </c>
      <c r="J6" s="257" t="s">
        <v>16</v>
      </c>
      <c r="K6" s="259" t="s">
        <v>2</v>
      </c>
    </row>
    <row r="7" spans="1:11" ht="13.5" thickBot="1">
      <c r="A7" s="256"/>
      <c r="B7" s="258"/>
      <c r="C7" s="258"/>
      <c r="D7" s="258"/>
      <c r="E7" s="258"/>
      <c r="F7" s="258"/>
      <c r="G7" s="312"/>
      <c r="H7" s="258"/>
      <c r="I7" s="258"/>
      <c r="J7" s="258"/>
      <c r="K7" s="260"/>
    </row>
    <row r="8" spans="1:11" ht="13.5" thickBot="1">
      <c r="A8" s="38"/>
      <c r="B8" s="38"/>
      <c r="C8" s="38"/>
      <c r="D8" s="38"/>
      <c r="E8" s="38"/>
      <c r="F8" s="38"/>
      <c r="G8" s="138"/>
      <c r="H8" s="38"/>
      <c r="I8" s="38"/>
      <c r="J8" s="38"/>
      <c r="K8" s="38"/>
    </row>
    <row r="9" spans="1:11" ht="21" customHeight="1" thickBot="1">
      <c r="A9" s="261" t="s">
        <v>69</v>
      </c>
      <c r="B9" s="262"/>
      <c r="C9" s="262"/>
      <c r="D9" s="262"/>
      <c r="E9" s="262"/>
      <c r="F9" s="262"/>
      <c r="G9" s="262"/>
      <c r="H9" s="262"/>
      <c r="I9" s="262"/>
      <c r="J9" s="262"/>
      <c r="K9" s="263"/>
    </row>
    <row r="10" spans="1:11" s="14" customFormat="1" ht="12.75" customHeight="1">
      <c r="A10" s="15"/>
      <c r="B10" s="16"/>
      <c r="C10" s="16" t="s">
        <v>17</v>
      </c>
      <c r="D10" s="17">
        <v>13611.2</v>
      </c>
      <c r="E10" s="18" t="s">
        <v>6</v>
      </c>
      <c r="F10" s="19"/>
      <c r="G10" s="139"/>
      <c r="H10" s="11" t="s">
        <v>8</v>
      </c>
      <c r="I10" s="12">
        <v>1.2</v>
      </c>
      <c r="J10" s="13" t="s">
        <v>7</v>
      </c>
      <c r="K10" s="20"/>
    </row>
    <row r="11" spans="1:11" s="14" customFormat="1" ht="13.5" customHeight="1">
      <c r="A11" s="272" t="s">
        <v>118</v>
      </c>
      <c r="B11" s="273"/>
      <c r="C11" s="273"/>
      <c r="D11" s="273"/>
      <c r="E11" s="273"/>
      <c r="F11" s="42">
        <v>28816.79</v>
      </c>
      <c r="G11" s="118">
        <v>56484.38</v>
      </c>
      <c r="H11" s="270"/>
      <c r="I11" s="271"/>
      <c r="J11" s="271"/>
      <c r="K11" s="55"/>
    </row>
    <row r="12" spans="1:11" s="14" customFormat="1" ht="13.5" customHeight="1">
      <c r="A12" s="268" t="s">
        <v>34</v>
      </c>
      <c r="B12" s="269"/>
      <c r="C12" s="269"/>
      <c r="D12" s="269"/>
      <c r="E12" s="269"/>
      <c r="F12" s="42">
        <f>D10*I10*12</f>
        <v>196001.28</v>
      </c>
      <c r="G12" s="233">
        <f>21211.2+21244.32+49026.24+21195.36+83324.16</f>
        <v>196001.28000000003</v>
      </c>
      <c r="H12" s="270"/>
      <c r="I12" s="271"/>
      <c r="J12" s="271"/>
      <c r="K12" s="55"/>
    </row>
    <row r="13" spans="1:11" s="14" customFormat="1" ht="13.5" customHeight="1">
      <c r="A13" s="268" t="s">
        <v>50</v>
      </c>
      <c r="B13" s="269"/>
      <c r="C13" s="269"/>
      <c r="D13" s="269"/>
      <c r="E13" s="269"/>
      <c r="F13" s="42">
        <f>-(D10*12*0)</f>
        <v>0</v>
      </c>
      <c r="G13" s="42">
        <v>0</v>
      </c>
      <c r="H13" s="270"/>
      <c r="I13" s="271"/>
      <c r="J13" s="271"/>
      <c r="K13" s="55"/>
    </row>
    <row r="14" spans="1:11" s="41" customFormat="1" ht="12.75" customHeight="1">
      <c r="A14" s="272" t="s">
        <v>55</v>
      </c>
      <c r="B14" s="273"/>
      <c r="C14" s="273"/>
      <c r="D14" s="273"/>
      <c r="E14" s="273"/>
      <c r="F14" s="42">
        <v>0</v>
      </c>
      <c r="G14" s="42">
        <f>449.83+958.75</f>
        <v>1408.58</v>
      </c>
      <c r="H14" s="270"/>
      <c r="I14" s="271"/>
      <c r="J14" s="271"/>
      <c r="K14" s="55"/>
    </row>
    <row r="15" spans="1:11" s="14" customFormat="1" ht="13.5" customHeight="1">
      <c r="A15" s="268" t="s">
        <v>104</v>
      </c>
      <c r="B15" s="269"/>
      <c r="C15" s="269"/>
      <c r="D15" s="269"/>
      <c r="E15" s="269"/>
      <c r="F15" s="42">
        <v>0</v>
      </c>
      <c r="G15" s="42">
        <v>0</v>
      </c>
      <c r="H15" s="270"/>
      <c r="I15" s="271"/>
      <c r="J15" s="271"/>
      <c r="K15" s="55"/>
    </row>
    <row r="16" spans="1:11" s="40" customFormat="1" ht="12.75" customHeight="1" thickBot="1">
      <c r="A16" s="287" t="s">
        <v>107</v>
      </c>
      <c r="B16" s="288"/>
      <c r="C16" s="288"/>
      <c r="D16" s="288"/>
      <c r="E16" s="288"/>
      <c r="F16" s="46">
        <f>F11+F12+F13+F14+F15</f>
        <v>224818.07</v>
      </c>
      <c r="G16" s="46">
        <f>G11+G12+G13+G14+G15</f>
        <v>253894.24000000002</v>
      </c>
      <c r="H16" s="276"/>
      <c r="I16" s="277"/>
      <c r="J16" s="277"/>
      <c r="K16" s="56"/>
    </row>
    <row r="17" spans="1:11" s="86" customFormat="1" ht="13.5" customHeight="1" thickBot="1">
      <c r="A17" s="58"/>
      <c r="B17" s="58"/>
      <c r="C17" s="58"/>
      <c r="D17" s="58"/>
      <c r="E17" s="58"/>
      <c r="F17" s="59"/>
      <c r="G17" s="59"/>
      <c r="H17" s="61"/>
      <c r="I17" s="64"/>
      <c r="J17" s="64"/>
      <c r="K17" s="62"/>
    </row>
    <row r="18" spans="1:11" ht="12.75">
      <c r="A18" s="120">
        <v>1</v>
      </c>
      <c r="B18" s="97" t="s">
        <v>41</v>
      </c>
      <c r="C18" s="97" t="s">
        <v>113</v>
      </c>
      <c r="D18" s="92" t="s">
        <v>52</v>
      </c>
      <c r="E18" s="92"/>
      <c r="F18" s="98">
        <v>25000</v>
      </c>
      <c r="G18" s="246">
        <f>20961.72+642.61</f>
        <v>21604.33</v>
      </c>
      <c r="H18" s="92">
        <v>2013</v>
      </c>
      <c r="I18" s="92">
        <v>2013</v>
      </c>
      <c r="J18" s="92" t="s">
        <v>3</v>
      </c>
      <c r="K18" s="121"/>
    </row>
    <row r="19" spans="1:11" ht="12.75">
      <c r="A19" s="30">
        <v>2</v>
      </c>
      <c r="B19" s="31" t="s">
        <v>42</v>
      </c>
      <c r="C19" s="31" t="s">
        <v>113</v>
      </c>
      <c r="D19" s="4" t="s">
        <v>52</v>
      </c>
      <c r="E19" s="4"/>
      <c r="F19" s="32">
        <v>25000</v>
      </c>
      <c r="G19" s="213">
        <f>20961.72+156.61</f>
        <v>21118.33</v>
      </c>
      <c r="H19" s="4">
        <v>2013</v>
      </c>
      <c r="I19" s="4">
        <v>2013</v>
      </c>
      <c r="J19" s="4" t="s">
        <v>3</v>
      </c>
      <c r="K19" s="33"/>
    </row>
    <row r="20" spans="1:11" ht="12.75">
      <c r="A20" s="30">
        <v>3</v>
      </c>
      <c r="B20" s="31" t="s">
        <v>43</v>
      </c>
      <c r="C20" s="31" t="s">
        <v>113</v>
      </c>
      <c r="D20" s="4" t="s">
        <v>52</v>
      </c>
      <c r="E20" s="4"/>
      <c r="F20" s="32">
        <v>25000</v>
      </c>
      <c r="G20" s="213">
        <f>20961.72+642.61</f>
        <v>21604.33</v>
      </c>
      <c r="H20" s="4">
        <v>2013</v>
      </c>
      <c r="I20" s="4">
        <v>2013</v>
      </c>
      <c r="J20" s="4" t="s">
        <v>3</v>
      </c>
      <c r="K20" s="33"/>
    </row>
    <row r="21" spans="1:11" ht="12.75">
      <c r="A21" s="30">
        <v>4</v>
      </c>
      <c r="B21" s="31" t="s">
        <v>156</v>
      </c>
      <c r="C21" s="31" t="s">
        <v>113</v>
      </c>
      <c r="D21" s="4" t="s">
        <v>52</v>
      </c>
      <c r="E21" s="4"/>
      <c r="F21" s="32">
        <v>25000</v>
      </c>
      <c r="G21" s="213">
        <f>20961.72+1452.61</f>
        <v>22414.33</v>
      </c>
      <c r="H21" s="4">
        <v>2013</v>
      </c>
      <c r="I21" s="4">
        <v>2013</v>
      </c>
      <c r="J21" s="4" t="s">
        <v>3</v>
      </c>
      <c r="K21" s="33"/>
    </row>
    <row r="22" spans="1:11" ht="12.75">
      <c r="A22" s="30">
        <v>5</v>
      </c>
      <c r="B22" s="31" t="s">
        <v>44</v>
      </c>
      <c r="C22" s="31" t="s">
        <v>114</v>
      </c>
      <c r="D22" s="4"/>
      <c r="E22" s="4"/>
      <c r="F22" s="32">
        <v>70000</v>
      </c>
      <c r="G22" s="213">
        <f>6150+626.44+89141.45</f>
        <v>95917.89</v>
      </c>
      <c r="H22" s="4">
        <v>2013</v>
      </c>
      <c r="I22" s="4">
        <v>2013</v>
      </c>
      <c r="J22" s="2" t="s">
        <v>3</v>
      </c>
      <c r="K22" s="25"/>
    </row>
    <row r="23" spans="1:11" s="132" customFormat="1" ht="12.75">
      <c r="A23" s="131">
        <v>6</v>
      </c>
      <c r="B23" s="53"/>
      <c r="C23" s="52" t="s">
        <v>125</v>
      </c>
      <c r="D23" s="127" t="s">
        <v>131</v>
      </c>
      <c r="E23" s="127"/>
      <c r="F23" s="66">
        <v>10000</v>
      </c>
      <c r="G23" s="232">
        <f>5*1107</f>
        <v>5535</v>
      </c>
      <c r="H23" s="68">
        <v>2013</v>
      </c>
      <c r="I23" s="68">
        <v>2013</v>
      </c>
      <c r="J23" s="128" t="s">
        <v>3</v>
      </c>
      <c r="K23" s="129"/>
    </row>
    <row r="24" spans="1:11" ht="12.75">
      <c r="A24" s="29">
        <v>7</v>
      </c>
      <c r="B24" s="28"/>
      <c r="C24" s="31" t="s">
        <v>21</v>
      </c>
      <c r="D24" s="4"/>
      <c r="E24" s="4"/>
      <c r="F24" s="32">
        <v>30000</v>
      </c>
      <c r="G24" s="213"/>
      <c r="H24" s="4">
        <v>2013</v>
      </c>
      <c r="I24" s="2"/>
      <c r="J24" s="26" t="s">
        <v>4</v>
      </c>
      <c r="K24" s="25"/>
    </row>
    <row r="25" spans="1:11" ht="12.75">
      <c r="A25" s="29">
        <v>8</v>
      </c>
      <c r="B25" s="163" t="s">
        <v>148</v>
      </c>
      <c r="C25" s="160" t="s">
        <v>111</v>
      </c>
      <c r="D25" s="164" t="s">
        <v>223</v>
      </c>
      <c r="E25" s="158"/>
      <c r="F25" s="165"/>
      <c r="G25" s="208">
        <f>6877.44+6877.44+6877.44</f>
        <v>20632.32</v>
      </c>
      <c r="H25" s="158"/>
      <c r="I25" s="158"/>
      <c r="J25" s="155" t="s">
        <v>3</v>
      </c>
      <c r="K25" s="159"/>
    </row>
    <row r="26" spans="1:11" ht="12.75">
      <c r="A26" s="29">
        <v>9</v>
      </c>
      <c r="B26" s="163" t="s">
        <v>222</v>
      </c>
      <c r="C26" s="166" t="s">
        <v>144</v>
      </c>
      <c r="D26" s="164"/>
      <c r="E26" s="158"/>
      <c r="F26" s="165"/>
      <c r="G26" s="208">
        <f>5184</f>
        <v>5184</v>
      </c>
      <c r="H26" s="158"/>
      <c r="I26" s="158"/>
      <c r="J26" s="164" t="s">
        <v>3</v>
      </c>
      <c r="K26" s="159"/>
    </row>
    <row r="27" spans="1:11" ht="12.75">
      <c r="A27" s="29">
        <v>10</v>
      </c>
      <c r="B27" s="163" t="s">
        <v>167</v>
      </c>
      <c r="C27" s="166" t="s">
        <v>162</v>
      </c>
      <c r="D27" s="164"/>
      <c r="E27" s="158"/>
      <c r="F27" s="165"/>
      <c r="G27" s="208">
        <v>12872.55</v>
      </c>
      <c r="H27" s="158"/>
      <c r="I27" s="158"/>
      <c r="J27" s="164" t="s">
        <v>4</v>
      </c>
      <c r="K27" s="159"/>
    </row>
    <row r="28" spans="1:11" ht="12.75">
      <c r="A28" s="29">
        <v>11</v>
      </c>
      <c r="B28" s="163" t="s">
        <v>166</v>
      </c>
      <c r="C28" s="166" t="s">
        <v>164</v>
      </c>
      <c r="D28" s="164"/>
      <c r="E28" s="158"/>
      <c r="F28" s="165"/>
      <c r="G28" s="208">
        <v>7436.77</v>
      </c>
      <c r="H28" s="158"/>
      <c r="I28" s="158"/>
      <c r="J28" s="164" t="s">
        <v>4</v>
      </c>
      <c r="K28" s="159"/>
    </row>
    <row r="29" spans="1:11" ht="12.75">
      <c r="A29" s="29">
        <v>12</v>
      </c>
      <c r="B29" s="163"/>
      <c r="C29" s="166" t="s">
        <v>163</v>
      </c>
      <c r="D29" s="164"/>
      <c r="E29" s="158"/>
      <c r="F29" s="165"/>
      <c r="G29" s="208">
        <v>637.75</v>
      </c>
      <c r="H29" s="158"/>
      <c r="I29" s="158"/>
      <c r="J29" s="164" t="s">
        <v>4</v>
      </c>
      <c r="K29" s="159"/>
    </row>
    <row r="30" spans="1:11" ht="12.75">
      <c r="A30" s="29">
        <v>13</v>
      </c>
      <c r="B30" s="163" t="s">
        <v>221</v>
      </c>
      <c r="C30" s="166" t="s">
        <v>189</v>
      </c>
      <c r="D30" s="164"/>
      <c r="E30" s="158"/>
      <c r="F30" s="165"/>
      <c r="G30" s="208">
        <v>7983.81</v>
      </c>
      <c r="H30" s="158"/>
      <c r="I30" s="158"/>
      <c r="J30" s="164" t="s">
        <v>3</v>
      </c>
      <c r="K30" s="159"/>
    </row>
    <row r="31" spans="1:11" ht="12.75">
      <c r="A31" s="29">
        <v>14</v>
      </c>
      <c r="B31" s="163" t="s">
        <v>190</v>
      </c>
      <c r="C31" s="166" t="s">
        <v>175</v>
      </c>
      <c r="D31" s="164"/>
      <c r="E31" s="158"/>
      <c r="F31" s="165"/>
      <c r="G31" s="208">
        <f>8973.61+2946.85</f>
        <v>11920.460000000001</v>
      </c>
      <c r="H31" s="158"/>
      <c r="I31" s="158"/>
      <c r="J31" s="164" t="s">
        <v>3</v>
      </c>
      <c r="K31" s="159"/>
    </row>
    <row r="32" spans="1:11" ht="12.75">
      <c r="A32" s="29">
        <v>15</v>
      </c>
      <c r="B32" s="154"/>
      <c r="C32" s="173" t="s">
        <v>161</v>
      </c>
      <c r="D32" s="155"/>
      <c r="E32" s="95"/>
      <c r="F32" s="169"/>
      <c r="G32" s="221">
        <f>129.6+1188</f>
        <v>1317.6</v>
      </c>
      <c r="H32" s="95"/>
      <c r="I32" s="95"/>
      <c r="J32" s="155" t="s">
        <v>3</v>
      </c>
      <c r="K32" s="159"/>
    </row>
    <row r="33" spans="1:11" ht="13.5" thickBot="1">
      <c r="A33" s="104">
        <v>16</v>
      </c>
      <c r="B33" s="185"/>
      <c r="C33" s="186"/>
      <c r="D33" s="187"/>
      <c r="E33" s="188"/>
      <c r="F33" s="189"/>
      <c r="G33" s="190"/>
      <c r="H33" s="188"/>
      <c r="I33" s="188"/>
      <c r="J33" s="187"/>
      <c r="K33" s="191"/>
    </row>
    <row r="34" spans="1:11" ht="13.5" thickBot="1">
      <c r="A34" s="79"/>
      <c r="B34" s="80"/>
      <c r="C34" s="44"/>
      <c r="D34" s="81"/>
      <c r="E34" s="21"/>
      <c r="F34" s="77"/>
      <c r="G34" s="37"/>
      <c r="H34" s="21"/>
      <c r="I34" s="21"/>
      <c r="J34" s="81"/>
      <c r="K34" s="48"/>
    </row>
    <row r="35" spans="1:11" s="14" customFormat="1" ht="13.5" customHeight="1">
      <c r="A35" s="264" t="s">
        <v>53</v>
      </c>
      <c r="B35" s="265"/>
      <c r="C35" s="265"/>
      <c r="D35" s="265"/>
      <c r="E35" s="265"/>
      <c r="F35" s="45">
        <f>SUM(F18:F33)</f>
        <v>210000</v>
      </c>
      <c r="G35" s="45">
        <f>SUM(G18:G33)</f>
        <v>256179.47</v>
      </c>
      <c r="H35" s="266"/>
      <c r="I35" s="267"/>
      <c r="J35" s="267"/>
      <c r="K35" s="94"/>
    </row>
    <row r="36" spans="1:11" s="14" customFormat="1" ht="13.5" customHeight="1">
      <c r="A36" s="112"/>
      <c r="B36" s="278" t="s">
        <v>24</v>
      </c>
      <c r="C36" s="279"/>
      <c r="D36" s="280"/>
      <c r="E36" s="281"/>
      <c r="F36" s="113"/>
      <c r="G36" s="113"/>
      <c r="H36" s="282"/>
      <c r="I36" s="283"/>
      <c r="J36" s="283"/>
      <c r="K36" s="54"/>
    </row>
    <row r="37" spans="1:11" s="14" customFormat="1" ht="13.5" customHeight="1">
      <c r="A37" s="112"/>
      <c r="B37" s="278"/>
      <c r="C37" s="284"/>
      <c r="D37" s="280"/>
      <c r="E37" s="281"/>
      <c r="F37" s="114"/>
      <c r="G37" s="114"/>
      <c r="H37" s="270"/>
      <c r="I37" s="279"/>
      <c r="J37" s="279"/>
      <c r="K37" s="55"/>
    </row>
    <row r="38" spans="1:11" s="14" customFormat="1" ht="13.5" customHeight="1">
      <c r="A38" s="115"/>
      <c r="B38" s="278" t="s">
        <v>4</v>
      </c>
      <c r="C38" s="293"/>
      <c r="D38" s="280"/>
      <c r="E38" s="281"/>
      <c r="F38" s="43">
        <f>F24+F27+F28+F29</f>
        <v>30000</v>
      </c>
      <c r="G38" s="43">
        <f>G24+G27+G28+G29</f>
        <v>20947.07</v>
      </c>
      <c r="H38" s="294"/>
      <c r="I38" s="295"/>
      <c r="J38" s="295"/>
      <c r="K38" s="57"/>
    </row>
    <row r="39" spans="1:11" s="14" customFormat="1" ht="13.5" customHeight="1">
      <c r="A39" s="115"/>
      <c r="B39" s="291" t="s">
        <v>3</v>
      </c>
      <c r="C39" s="291"/>
      <c r="D39" s="292"/>
      <c r="E39" s="292"/>
      <c r="F39" s="43">
        <f>F35-F37-F38</f>
        <v>180000</v>
      </c>
      <c r="G39" s="43">
        <f>G35-G37-G38</f>
        <v>235232.4</v>
      </c>
      <c r="H39" s="289"/>
      <c r="I39" s="290"/>
      <c r="J39" s="290"/>
      <c r="K39" s="36"/>
    </row>
    <row r="40" spans="1:11" s="14" customFormat="1" ht="13.5" customHeight="1" thickBot="1">
      <c r="A40" s="274" t="s">
        <v>121</v>
      </c>
      <c r="B40" s="275"/>
      <c r="C40" s="275"/>
      <c r="D40" s="275"/>
      <c r="E40" s="275"/>
      <c r="F40" s="47">
        <f>F16-F35</f>
        <v>14818.070000000007</v>
      </c>
      <c r="G40" s="47">
        <f>G16-G35</f>
        <v>-2285.2299999999814</v>
      </c>
      <c r="H40" s="276"/>
      <c r="I40" s="277"/>
      <c r="J40" s="277"/>
      <c r="K40" s="56"/>
    </row>
    <row r="41" spans="1:11" s="63" customFormat="1" ht="13.5" customHeight="1">
      <c r="A41" s="58"/>
      <c r="B41" s="58"/>
      <c r="C41" s="58"/>
      <c r="D41" s="58"/>
      <c r="E41" s="58"/>
      <c r="F41" s="59"/>
      <c r="G41" s="59"/>
      <c r="H41" s="61"/>
      <c r="I41" s="64"/>
      <c r="J41" s="64"/>
      <c r="K41" s="62"/>
    </row>
    <row r="42" spans="1:11" s="10" customFormat="1" ht="11.25">
      <c r="A42" s="21"/>
      <c r="B42" s="49"/>
      <c r="C42" s="21"/>
      <c r="D42" s="21"/>
      <c r="E42" s="21"/>
      <c r="F42" s="50"/>
      <c r="G42" s="37"/>
      <c r="H42" s="21"/>
      <c r="I42" s="21"/>
      <c r="J42" s="21"/>
      <c r="K42" s="23"/>
    </row>
    <row r="43" ht="12.75">
      <c r="K43" s="1"/>
    </row>
    <row r="44" ht="12.75">
      <c r="K44" s="1"/>
    </row>
    <row r="45" ht="12.75">
      <c r="K45" s="1"/>
    </row>
    <row r="46" ht="12.75">
      <c r="K46" s="1"/>
    </row>
    <row r="47" ht="12.75">
      <c r="K47" s="1"/>
    </row>
    <row r="48" ht="12.75">
      <c r="K48" s="1"/>
    </row>
    <row r="49" ht="12.75">
      <c r="K49" s="1"/>
    </row>
    <row r="50" ht="12.75">
      <c r="K50" s="1"/>
    </row>
    <row r="51" ht="12.75">
      <c r="K51" s="1"/>
    </row>
    <row r="52" ht="12.75">
      <c r="K52" s="1"/>
    </row>
    <row r="53" ht="12.75">
      <c r="K53" s="1"/>
    </row>
    <row r="54" ht="12.75">
      <c r="K54" s="1"/>
    </row>
    <row r="55" ht="12.75">
      <c r="K55" s="1"/>
    </row>
    <row r="56" ht="12.75">
      <c r="K56" s="1"/>
    </row>
    <row r="57" ht="12.75">
      <c r="K57" s="1"/>
    </row>
    <row r="58" ht="12.75">
      <c r="K58" s="1"/>
    </row>
    <row r="59" ht="12.75">
      <c r="K59" s="1"/>
    </row>
    <row r="60" ht="12.75">
      <c r="K60" s="1"/>
    </row>
    <row r="61" ht="12.75">
      <c r="K61" s="1"/>
    </row>
    <row r="62" ht="12.75">
      <c r="K62" s="1"/>
    </row>
    <row r="63" ht="12.75">
      <c r="K63" s="1"/>
    </row>
  </sheetData>
  <sheetProtection/>
  <mergeCells count="38">
    <mergeCell ref="B36:E36"/>
    <mergeCell ref="H36:J36"/>
    <mergeCell ref="B37:E37"/>
    <mergeCell ref="A35:E35"/>
    <mergeCell ref="H40:J40"/>
    <mergeCell ref="B38:E38"/>
    <mergeCell ref="H38:J38"/>
    <mergeCell ref="B39:E39"/>
    <mergeCell ref="I6:I7"/>
    <mergeCell ref="H37:J37"/>
    <mergeCell ref="A12:E12"/>
    <mergeCell ref="H39:J39"/>
    <mergeCell ref="A40:E40"/>
    <mergeCell ref="A16:E16"/>
    <mergeCell ref="H16:J16"/>
    <mergeCell ref="E6:E7"/>
    <mergeCell ref="H35:J35"/>
    <mergeCell ref="G6:G7"/>
    <mergeCell ref="H12:J12"/>
    <mergeCell ref="A13:E13"/>
    <mergeCell ref="H13:J13"/>
    <mergeCell ref="H15:J15"/>
    <mergeCell ref="A15:E15"/>
    <mergeCell ref="A9:K9"/>
    <mergeCell ref="A11:E11"/>
    <mergeCell ref="H11:J11"/>
    <mergeCell ref="A14:E14"/>
    <mergeCell ref="H14:J14"/>
    <mergeCell ref="A3:K3"/>
    <mergeCell ref="A4:K4"/>
    <mergeCell ref="A6:A7"/>
    <mergeCell ref="B6:B7"/>
    <mergeCell ref="C6:C7"/>
    <mergeCell ref="D6:D7"/>
    <mergeCell ref="K6:K7"/>
    <mergeCell ref="F6:F7"/>
    <mergeCell ref="J6:J7"/>
    <mergeCell ref="H6:H7"/>
  </mergeCells>
  <printOptions horizontalCentered="1"/>
  <pageMargins left="0" right="0" top="0" bottom="0" header="0" footer="0"/>
  <pageSetup horizontalDpi="600" verticalDpi="600" orientation="landscape" paperSize="9" scale="105" r:id="rId1"/>
  <headerFooter alignWithMargins="0">
    <oddFooter>&amp;CStrona &amp;P z &amp;N</oddFoot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techniczny_nowy</dc:creator>
  <cp:keywords/>
  <dc:description/>
  <cp:lastModifiedBy>Jacek Zarychta</cp:lastModifiedBy>
  <cp:lastPrinted>2014-02-17T12:50:44Z</cp:lastPrinted>
  <dcterms:created xsi:type="dcterms:W3CDTF">2010-10-22T05:56:20Z</dcterms:created>
  <dcterms:modified xsi:type="dcterms:W3CDTF">2014-02-26T08:16:34Z</dcterms:modified>
  <cp:category/>
  <cp:version/>
  <cp:contentType/>
  <cp:contentStatus/>
</cp:coreProperties>
</file>