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120" windowHeight="13425" activeTab="12"/>
  </bookViews>
  <sheets>
    <sheet name="RAZEM" sheetId="1" r:id="rId1"/>
    <sheet name="SFR" sheetId="2" r:id="rId2"/>
    <sheet name="N01" sheetId="3" r:id="rId3"/>
    <sheet name="N02" sheetId="4" r:id="rId4"/>
    <sheet name="N03" sheetId="5" r:id="rId5"/>
    <sheet name="N04" sheetId="6" r:id="rId6"/>
    <sheet name="N06" sheetId="7" r:id="rId7"/>
    <sheet name="N07" sheetId="8" r:id="rId8"/>
    <sheet name="N08" sheetId="9" r:id="rId9"/>
    <sheet name="N09" sheetId="10" r:id="rId10"/>
    <sheet name="N18" sheetId="11" r:id="rId11"/>
    <sheet name="GARAŻE N01" sheetId="12" r:id="rId12"/>
    <sheet name="GARAŻE N02" sheetId="13" r:id="rId13"/>
    <sheet name="GARAŻE N04" sheetId="14" r:id="rId14"/>
    <sheet name="GARAŻE N06" sheetId="15" r:id="rId15"/>
    <sheet name="DŹWIGI N01" sheetId="16" r:id="rId16"/>
    <sheet name="DŹWIGI N03" sheetId="17" r:id="rId17"/>
    <sheet name="DŹWIGI N04" sheetId="18" r:id="rId18"/>
    <sheet name="DŹWIGI N06" sheetId="19" r:id="rId19"/>
    <sheet name="DŹWIGI N07" sheetId="20" r:id="rId20"/>
    <sheet name="DŹWIGI N18" sheetId="21" r:id="rId21"/>
    <sheet name="Arkusz3" sheetId="22" r:id="rId22"/>
  </sheets>
  <definedNames>
    <definedName name="_xlnm.Print_Titles" localSheetId="15">'DŹWIGI N01'!$1:$7</definedName>
    <definedName name="_xlnm.Print_Titles" localSheetId="16">'DŹWIGI N03'!$1:$7</definedName>
    <definedName name="_xlnm.Print_Titles" localSheetId="17">'DŹWIGI N04'!$1:$7</definedName>
    <definedName name="_xlnm.Print_Titles" localSheetId="18">'DŹWIGI N06'!$1:$7</definedName>
    <definedName name="_xlnm.Print_Titles" localSheetId="19">'DŹWIGI N07'!$1:$7</definedName>
    <definedName name="_xlnm.Print_Titles" localSheetId="20">'DŹWIGI N18'!$1:$7</definedName>
    <definedName name="_xlnm.Print_Titles" localSheetId="11">'GARAŻE N01'!$1:$7</definedName>
    <definedName name="_xlnm.Print_Titles" localSheetId="12">'GARAŻE N02'!$1:$7</definedName>
    <definedName name="_xlnm.Print_Titles" localSheetId="13">'GARAŻE N04'!$1:$7</definedName>
    <definedName name="_xlnm.Print_Titles" localSheetId="14">'GARAŻE N06'!$1:$7</definedName>
    <definedName name="_xlnm.Print_Titles" localSheetId="2">'N01'!$1:$7</definedName>
    <definedName name="_xlnm.Print_Titles" localSheetId="3">'N02'!$1:$7</definedName>
    <definedName name="_xlnm.Print_Titles" localSheetId="4">'N03'!$1:$7</definedName>
    <definedName name="_xlnm.Print_Titles" localSheetId="5">'N04'!$1:$7</definedName>
    <definedName name="_xlnm.Print_Titles" localSheetId="6">'N06'!$1:$7</definedName>
    <definedName name="_xlnm.Print_Titles" localSheetId="7">'N07'!$1:$7</definedName>
    <definedName name="_xlnm.Print_Titles" localSheetId="8">'N08'!$1:$7</definedName>
    <definedName name="_xlnm.Print_Titles" localSheetId="9">'N09'!$1:$7</definedName>
    <definedName name="_xlnm.Print_Titles" localSheetId="10">'N18'!$1:$7</definedName>
    <definedName name="_xlnm.Print_Titles" localSheetId="0">'RAZEM'!$1:$7</definedName>
    <definedName name="_xlnm.Print_Titles" localSheetId="1">'SFR'!$1:$7</definedName>
  </definedNames>
  <calcPr fullCalcOnLoad="1"/>
</workbook>
</file>

<file path=xl/sharedStrings.xml><?xml version="1.0" encoding="utf-8"?>
<sst xmlns="http://schemas.openxmlformats.org/spreadsheetml/2006/main" count="1162" uniqueCount="286">
  <si>
    <t>Adres</t>
  </si>
  <si>
    <t>Opis robót remontowych</t>
  </si>
  <si>
    <t>Uwagi</t>
  </si>
  <si>
    <t>Obcy</t>
  </si>
  <si>
    <t>Ekipa</t>
  </si>
  <si>
    <t>WSM Adm. Osiedla "MŁOCINY"</t>
  </si>
  <si>
    <t>m2</t>
  </si>
  <si>
    <t>zł/m2</t>
  </si>
  <si>
    <t>stawka =</t>
  </si>
  <si>
    <t>L.p.</t>
  </si>
  <si>
    <t>Zakres plan.</t>
  </si>
  <si>
    <t>Zakres wyk.</t>
  </si>
  <si>
    <t>Wartość plan.</t>
  </si>
  <si>
    <t>Wartość wyk.</t>
  </si>
  <si>
    <t>Termin plan.</t>
  </si>
  <si>
    <t>Termin wyk.</t>
  </si>
  <si>
    <t>Wyk. robót</t>
  </si>
  <si>
    <t>pow. użyt. lokali mieszkalnych =</t>
  </si>
  <si>
    <t>Szegedyńska 10</t>
  </si>
  <si>
    <t>Wrzeciono 12</t>
  </si>
  <si>
    <t>Rezerwa na awarie i roboty nieprzewidziane</t>
  </si>
  <si>
    <t>Przy Agorze 3</t>
  </si>
  <si>
    <t>N01</t>
  </si>
  <si>
    <t>N02</t>
  </si>
  <si>
    <t>N04</t>
  </si>
  <si>
    <t>N03</t>
  </si>
  <si>
    <t>ilość lokali =</t>
  </si>
  <si>
    <t>II. NALICZENIE ROCZNE funduszu remontowego nieruchomości:</t>
  </si>
  <si>
    <t>szt</t>
  </si>
  <si>
    <t>zł/lok</t>
  </si>
  <si>
    <t>Wrzeciono 52</t>
  </si>
  <si>
    <t>SFR</t>
  </si>
  <si>
    <t>Wrzeciono 6</t>
  </si>
  <si>
    <t>N08</t>
  </si>
  <si>
    <t>N18</t>
  </si>
  <si>
    <t>III. ODPIS na SFR:</t>
  </si>
  <si>
    <t>II. ODPIS z naliczenia funduszy remontowych nieruchomości:</t>
  </si>
  <si>
    <t>VIII. RAZEM WYDATKI:</t>
  </si>
  <si>
    <t>VII. ŚRODKI DO WYKORZYSTANIA (I+II+III+IV+VI):</t>
  </si>
  <si>
    <t>IV. DODATKOWE ZASILENIA:</t>
  </si>
  <si>
    <t>Wrzec. 57B/59-59C</t>
  </si>
  <si>
    <t>pow. garaży =</t>
  </si>
  <si>
    <t>Szegedyńska 5</t>
  </si>
  <si>
    <t>IV. DODATKOWE ZASILENIA (refundacja od mieszkańców):</t>
  </si>
  <si>
    <t>III. ODPIS 100% z naliczenia fun. remont. lokali użytkowych:</t>
  </si>
  <si>
    <t>Nieruchomość 01 - lokale mieszkalne</t>
  </si>
  <si>
    <t>Nieruchomość 02 - lokale mieszkalne</t>
  </si>
  <si>
    <t>Nieruchomość 03 - lokale mieszkalne</t>
  </si>
  <si>
    <t>Nieruchomość 04 - lokale mieszkalne</t>
  </si>
  <si>
    <t>Nieruchomość 06 - lokale mieszkalne</t>
  </si>
  <si>
    <t>Nieruchomość 07 - lokale mieszkalne</t>
  </si>
  <si>
    <t>Nieruchomość 08 - lokale mieszkalne</t>
  </si>
  <si>
    <t>Nieruchomość 09 - lokale mieszkalne</t>
  </si>
  <si>
    <t>Nieruchomość 018 - lokale mieszkalne</t>
  </si>
  <si>
    <t>Nieruchomość 01 - dźwigi</t>
  </si>
  <si>
    <t>Nieruchomość 03 - dźwigi</t>
  </si>
  <si>
    <t>Nieruchomość 04 - dźwigi</t>
  </si>
  <si>
    <t>Nieruchomość 06 - dźwigi</t>
  </si>
  <si>
    <t>Nieruchomość 07 - dźwigi</t>
  </si>
  <si>
    <t>RAZEM WSZYSTKIE FUNDUSZE</t>
  </si>
  <si>
    <t>N06</t>
  </si>
  <si>
    <t>N07</t>
  </si>
  <si>
    <t>N09</t>
  </si>
  <si>
    <t>GARAŻE</t>
  </si>
  <si>
    <t>DŹWIGI</t>
  </si>
  <si>
    <t>MIESZKANIA</t>
  </si>
  <si>
    <t>Rodzaj lokali</t>
  </si>
  <si>
    <t>Adresy</t>
  </si>
  <si>
    <t>Wrzeciono 6,8,8A,10</t>
  </si>
  <si>
    <t>Szegedyńska 4,8; Wrzeciono 50</t>
  </si>
  <si>
    <t>Szegedyńska 1,5,5A; Szubińska 6; Wrzeciono 52,54A</t>
  </si>
  <si>
    <t>Marymoncka 137/139; Wrzeciono 55,55A,57,57A</t>
  </si>
  <si>
    <t>Marymoncka 129,131</t>
  </si>
  <si>
    <t>Szegedyńska 5 ; Wrzeciono 52</t>
  </si>
  <si>
    <t>Wrzeciono 57B,59,59A,59B,59C</t>
  </si>
  <si>
    <t>Szegedyńska 2,6</t>
  </si>
  <si>
    <t>Nieruchomość 18 - dźwigi</t>
  </si>
  <si>
    <t>IV. DODATKOWE ZASILENIA (wg stawki 4,00 zł/lok):</t>
  </si>
  <si>
    <t>Nieruchomość N01 - garaże</t>
  </si>
  <si>
    <t>Nieruchomość N04 - garaże</t>
  </si>
  <si>
    <t>Nieruchomość N06 - garaże</t>
  </si>
  <si>
    <t>Nieruchomość N02 - garaże</t>
  </si>
  <si>
    <t>V. ZASILENIE z SFR:</t>
  </si>
  <si>
    <t>V. ZASILENIE NIERUCHOMOŚCI z SFR:</t>
  </si>
  <si>
    <t xml:space="preserve"> </t>
  </si>
  <si>
    <t>Lokale użytkowe</t>
  </si>
  <si>
    <t>Marymoncka 129/131</t>
  </si>
  <si>
    <t>strona 1 z 21</t>
  </si>
  <si>
    <t>strona 2 z 21</t>
  </si>
  <si>
    <t>strona 3 z 21</t>
  </si>
  <si>
    <t>strona 4 z 21</t>
  </si>
  <si>
    <t>strona 5 z 21</t>
  </si>
  <si>
    <t>strona 6 z 21</t>
  </si>
  <si>
    <t>strona 7 z 21</t>
  </si>
  <si>
    <t>strona 8 z 21</t>
  </si>
  <si>
    <t>strona 9 z 21</t>
  </si>
  <si>
    <t>strona 10 z 21</t>
  </si>
  <si>
    <t>strona 11 z 21</t>
  </si>
  <si>
    <t>strona 12 z 21</t>
  </si>
  <si>
    <t>strona 13 z 21</t>
  </si>
  <si>
    <t>strona 14 z 21</t>
  </si>
  <si>
    <t>strona 15 z 21</t>
  </si>
  <si>
    <t>strona 16 z 21</t>
  </si>
  <si>
    <t>strona 17 z 21</t>
  </si>
  <si>
    <t>strona 18 z 21</t>
  </si>
  <si>
    <t>strona 19 z 21</t>
  </si>
  <si>
    <t>strona 20 z 21</t>
  </si>
  <si>
    <t>strona 21 z 21</t>
  </si>
  <si>
    <t>Wrzec. 57B, 59-59C</t>
  </si>
  <si>
    <t>Legalizacja wodomiarów C.W. i Z.W.</t>
  </si>
  <si>
    <t>pow. użyt. lokali mieszkalnych (bez WSS SPOŁEM) =</t>
  </si>
  <si>
    <t>Docieplenie stropodachu</t>
  </si>
  <si>
    <t>UŻYTKOWE</t>
  </si>
  <si>
    <t>Wrzeciono 10C, Szegedyńska 3, Przy Agorze 1</t>
  </si>
  <si>
    <t>m2         stawka =</t>
  </si>
  <si>
    <t>Wymiana instalacji elektrycznej</t>
  </si>
  <si>
    <t>4,0 lub 1,70</t>
  </si>
  <si>
    <t>PLAN RZECZOWY NA ROK 2015</t>
  </si>
  <si>
    <t>4.500 m2</t>
  </si>
  <si>
    <t>Remont dachu</t>
  </si>
  <si>
    <t>Altanki śmietnikowe</t>
  </si>
  <si>
    <t>2 szt</t>
  </si>
  <si>
    <t>Sz1, Sz3</t>
  </si>
  <si>
    <t>Remont balkonów</t>
  </si>
  <si>
    <t>W6, 8, 8A, 10</t>
  </si>
  <si>
    <t>4280 m2</t>
  </si>
  <si>
    <t>1160 m2</t>
  </si>
  <si>
    <t>Wrzec. 59C</t>
  </si>
  <si>
    <t>Naprawa tarasów, logii, balkonów</t>
  </si>
  <si>
    <t>Podliczniki energii elektrycznej</t>
  </si>
  <si>
    <t>Szegedyńska 3A,3B,7,9, Wrzeciono 54</t>
  </si>
  <si>
    <t>Wrzeciono 10B</t>
  </si>
  <si>
    <t>W8A, W10</t>
  </si>
  <si>
    <t>412 szt</t>
  </si>
  <si>
    <t>Wrzeciono 55-57A</t>
  </si>
  <si>
    <t>416 szt</t>
  </si>
  <si>
    <t>698 szt</t>
  </si>
  <si>
    <t>Sz5, 5A</t>
  </si>
  <si>
    <t>1005 szt</t>
  </si>
  <si>
    <t>Sz5A</t>
  </si>
  <si>
    <t>Remont klatek schodowych</t>
  </si>
  <si>
    <t>W10</t>
  </si>
  <si>
    <t>680 m2</t>
  </si>
  <si>
    <t>12 szt</t>
  </si>
  <si>
    <t>Sz1,5A,Szu6,W54A</t>
  </si>
  <si>
    <t>VI. ŚRODKI SFR-Osiedla DO WYKORZYSTANIA (I+II+III+IV+V):</t>
  </si>
  <si>
    <t>VI. ŚRODKI DO WYKORZYSTANIA (I+II+III+IV+V):</t>
  </si>
  <si>
    <t>I. SALDO na dn. 01.01.2015:</t>
  </si>
  <si>
    <t>Wymiana pasów podrynnowych</t>
  </si>
  <si>
    <t>Sz 5, 5A, Szub 6</t>
  </si>
  <si>
    <t>3 bud</t>
  </si>
  <si>
    <t>Wrz 6,8,8A</t>
  </si>
  <si>
    <t>Naprawa balkonów</t>
  </si>
  <si>
    <t>Wrz 8,8A</t>
  </si>
  <si>
    <t>Projekt i uzgodnienia do ogrodzenia posesji</t>
  </si>
  <si>
    <t>PROJEKT 2</t>
  </si>
  <si>
    <t>Marymoncka 137/139</t>
  </si>
  <si>
    <t>Wymiana drzwi awaryjnych</t>
  </si>
  <si>
    <t>Sz5</t>
  </si>
  <si>
    <t>Sz5,W52</t>
  </si>
  <si>
    <t>Drobne naprawy elewacji</t>
  </si>
  <si>
    <t>Zadaszenie przed bud., rowerownia, drzwi hydrof.</t>
  </si>
  <si>
    <t>W52</t>
  </si>
  <si>
    <t>Wymiana inst. elektrycznej</t>
  </si>
  <si>
    <t>1 bud</t>
  </si>
  <si>
    <t>dokończ. z 2014</t>
  </si>
  <si>
    <t>Wymiana drzwi kabiny</t>
  </si>
  <si>
    <t>Sz3A,3B</t>
  </si>
  <si>
    <t>Sz4</t>
  </si>
  <si>
    <t>Roboty dekarskie</t>
  </si>
  <si>
    <t>Modern. placu zabaw</t>
  </si>
  <si>
    <t>W50</t>
  </si>
  <si>
    <t>Sz8,W50</t>
  </si>
  <si>
    <t>Sz10</t>
  </si>
  <si>
    <t>W10,W6</t>
  </si>
  <si>
    <t>Chodnik z kostki, donice</t>
  </si>
  <si>
    <t>W8,W10</t>
  </si>
  <si>
    <t>Inne drobne</t>
  </si>
  <si>
    <t>W6</t>
  </si>
  <si>
    <t>Place zabaw</t>
  </si>
  <si>
    <t>Rozbudowa systemu TV przemysłowej</t>
  </si>
  <si>
    <t>W59</t>
  </si>
  <si>
    <t>Wymiana kasety wezwań</t>
  </si>
  <si>
    <t>Wymiana styczników</t>
  </si>
  <si>
    <t>Uszczelnienia przecieków</t>
  </si>
  <si>
    <t>Wymiana detektorów tlenku węgla</t>
  </si>
  <si>
    <t>Tymczasowe zabezpieczenie stropu</t>
  </si>
  <si>
    <t>Roboty drogowe</t>
  </si>
  <si>
    <t>Montaz drzwi awaryjnych</t>
  </si>
  <si>
    <t>Ułożenie chodnika z kostki</t>
  </si>
  <si>
    <t xml:space="preserve">Wymiana płyt chodnikowych na kostkę </t>
  </si>
  <si>
    <t>Modernizacja placu zabaw</t>
  </si>
  <si>
    <t>SCENTRALIZOWANY FUNDUSZ REMONTOWY LOKALI USŁUGOWYCH</t>
  </si>
  <si>
    <t>Szegedyńska 3</t>
  </si>
  <si>
    <t>Roboty drogowe od strony wsch. pawilonu sklepowego</t>
  </si>
  <si>
    <t>Instrukcja ppoż dla Przychodni</t>
  </si>
  <si>
    <t>Wrzeciono 10c</t>
  </si>
  <si>
    <t>Zadaszenie wejścia do klubu Seniora</t>
  </si>
  <si>
    <t>Całe Osiedle</t>
  </si>
  <si>
    <t>Niepodzielone</t>
  </si>
  <si>
    <t>Ułożenie chodnika przy 1 kl z kostki</t>
  </si>
  <si>
    <t>Doposażenie placów zabaw</t>
  </si>
  <si>
    <t>rezygnacja</t>
  </si>
  <si>
    <t>Rozliczenie kosztów materiałowych Ekipy</t>
  </si>
  <si>
    <t>W54A</t>
  </si>
  <si>
    <t>Modernizacja domofonów</t>
  </si>
  <si>
    <t>7klatek</t>
  </si>
  <si>
    <t>Wymiana drzwi awaryjnych zewnętrznych</t>
  </si>
  <si>
    <t>VII. RAZEM WYDATKI:</t>
  </si>
  <si>
    <t xml:space="preserve">Ogłoszenie o przetargu do gazety </t>
  </si>
  <si>
    <t>SZ5,W52</t>
  </si>
  <si>
    <t>Wymiana zewnętrznych drzwi awaryjnych</t>
  </si>
  <si>
    <t>Zadaszenie wejścia przed budynkiem</t>
  </si>
  <si>
    <t>Naprawa TV przemysłowej</t>
  </si>
  <si>
    <t>Drobne roboty dekarskie</t>
  </si>
  <si>
    <t>Projekt remontu dachu</t>
  </si>
  <si>
    <t>Drzwi do zsypu, hydroforni, zabezp. grafitti</t>
  </si>
  <si>
    <t>Remont podłogi w kabinie</t>
  </si>
  <si>
    <t>W59B,C</t>
  </si>
  <si>
    <t>Ogłoszenie o przetargu na dźwigi</t>
  </si>
  <si>
    <t>PA3</t>
  </si>
  <si>
    <t>M137/139</t>
  </si>
  <si>
    <t>W57,M137/139</t>
  </si>
  <si>
    <t>W57</t>
  </si>
  <si>
    <t>Naprawa spalonej altanki i zabezp. antygraffiti</t>
  </si>
  <si>
    <t>zwrot z ubezp. UNIQA altanka</t>
  </si>
  <si>
    <t>W55A,M137/139</t>
  </si>
  <si>
    <t>korekta -3.159,87</t>
  </si>
  <si>
    <t>M129/131</t>
  </si>
  <si>
    <t>Ogłoszenie o wymianie dźwigów</t>
  </si>
  <si>
    <t>W12</t>
  </si>
  <si>
    <t xml:space="preserve">Naprawa dachu </t>
  </si>
  <si>
    <t>Wrzeciono 14A</t>
  </si>
  <si>
    <t>Projekt instalacji ppoż, hydranty</t>
  </si>
  <si>
    <t>W10C</t>
  </si>
  <si>
    <t>FUNDUSZE REMONTOWE NIERUCHOMOŚCI - WYKONANIE IV KW</t>
  </si>
  <si>
    <t>IX. SALDO NA DN. 31.12.2015 (VII-VIII):</t>
  </si>
  <si>
    <t>VIII. SALDO NA DN. 31.12.2015 (VI-VII):</t>
  </si>
  <si>
    <t>Ułożenie chodnika z kostki brukowej od str. płn.</t>
  </si>
  <si>
    <t>Drzwi hydroforni i rowerowni, krata maszynowni</t>
  </si>
  <si>
    <t>Remont dachu (wymiana świetlików)</t>
  </si>
  <si>
    <t>Naprawy elewacji</t>
  </si>
  <si>
    <t>W59A</t>
  </si>
  <si>
    <t>Remont pompy hydroforni</t>
  </si>
  <si>
    <t>Remont klatki schodowej</t>
  </si>
  <si>
    <t>W59B</t>
  </si>
  <si>
    <t>Usunięcie przyczyn zalewania lok 48</t>
  </si>
  <si>
    <t>Naprawa bramy</t>
  </si>
  <si>
    <t>W57B</t>
  </si>
  <si>
    <t>Naprawa łączności ze służb. ratowniczymi</t>
  </si>
  <si>
    <t>Remont pompy c.w.</t>
  </si>
  <si>
    <t>zwrot 10.901,08 zł</t>
  </si>
  <si>
    <t>wyk. projektu</t>
  </si>
  <si>
    <t>Wykonanie projektu wymiany inst. poziomej wody</t>
  </si>
  <si>
    <t>Krata do altanki śmietnikowej, drzwi rowerownia</t>
  </si>
  <si>
    <t>W57A</t>
  </si>
  <si>
    <t>Drzwi do rowerowni</t>
  </si>
  <si>
    <t>System monitoringu</t>
  </si>
  <si>
    <t>Wymiana naczynia przeponowego</t>
  </si>
  <si>
    <t>M131</t>
  </si>
  <si>
    <t>Wymiana odcinka kanalizacji w piwnicy 4kl</t>
  </si>
  <si>
    <t>Wymiana drzwi wejściowych do Przychodni od strony Kościoła</t>
  </si>
  <si>
    <t>Rozliczenie ekipy</t>
  </si>
  <si>
    <t>Wymiana kamery po dewastacji</t>
  </si>
  <si>
    <t>II rata z uchwały nr 68/2013 RN</t>
  </si>
  <si>
    <t>IV. SUMA DODATKOWYCH ZASILEŃ na dn. 31.12.2015:</t>
  </si>
  <si>
    <t>VI. SUMA ZASILEŃ Z SFR na dn. 31.12.2015:</t>
  </si>
  <si>
    <t>II. NALICZENIA funduszy remontowych nieruchomości dla lokali mieszkalnych i użytkowych:</t>
  </si>
  <si>
    <t>III. ODPISY obciążające koszty eksploatacji dźwigów:</t>
  </si>
  <si>
    <t>SZ5A</t>
  </si>
  <si>
    <t>Projekt ppoż po decyzji KomendantaStrażyPoż.</t>
  </si>
  <si>
    <t>dodatk. W54A</t>
  </si>
  <si>
    <t>Roboty różne</t>
  </si>
  <si>
    <t>Instalacja elektryczna i dzwonkowa, czujki ruchu</t>
  </si>
  <si>
    <t>Drobne naprawy elewacji, kratki wentylacyjne</t>
  </si>
  <si>
    <t>Drzwi hydr,kraty maszynownia,izolacja w piwnicy</t>
  </si>
  <si>
    <t>II kw 2015</t>
  </si>
  <si>
    <t>III kw 2015</t>
  </si>
  <si>
    <t>IVkw 2015</t>
  </si>
  <si>
    <t>IV kw 2015</t>
  </si>
  <si>
    <t>Wymiana naczynia wzbiorczego</t>
  </si>
  <si>
    <t>pozostała kwota 755.100,00 zł z uchwały nr 68/2013 RN</t>
  </si>
  <si>
    <t>IIIkw 2015</t>
  </si>
  <si>
    <t>przenies. na 2016</t>
  </si>
  <si>
    <t>przen. na 2016</t>
  </si>
  <si>
    <t>dn. 07.03.2016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</si>
</sst>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10" fillId="33" borderId="19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33" borderId="20" xfId="0" applyNumberFormat="1" applyFont="1" applyFill="1" applyBorder="1" applyAlignment="1">
      <alignment horizontal="right"/>
    </xf>
    <xf numFmtId="4" fontId="4" fillId="33" borderId="21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6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10" fillId="33" borderId="3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4" fontId="4" fillId="0" borderId="31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10" fillId="33" borderId="15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right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4" fontId="10" fillId="0" borderId="0" xfId="0" applyNumberFormat="1" applyFont="1" applyBorder="1" applyAlignment="1" quotePrefix="1">
      <alignment horizontal="right"/>
    </xf>
    <xf numFmtId="0" fontId="4" fillId="0" borderId="17" xfId="0" applyFont="1" applyBorder="1" applyAlignment="1">
      <alignment horizontal="left" vertical="center"/>
    </xf>
    <xf numFmtId="4" fontId="0" fillId="0" borderId="0" xfId="0" applyNumberFormat="1" applyAlignment="1">
      <alignment horizontal="right"/>
    </xf>
    <xf numFmtId="4" fontId="4" fillId="0" borderId="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4" fontId="4" fillId="0" borderId="29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right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/>
    </xf>
    <xf numFmtId="16" fontId="2" fillId="0" borderId="0" xfId="0" applyNumberFormat="1" applyFont="1" applyAlignment="1">
      <alignment horizontal="center"/>
    </xf>
    <xf numFmtId="0" fontId="4" fillId="0" borderId="3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right" vertical="center" wrapText="1"/>
    </xf>
    <xf numFmtId="4" fontId="4" fillId="0" borderId="3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4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4" fontId="10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/>
    </xf>
    <xf numFmtId="0" fontId="10" fillId="0" borderId="30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top"/>
    </xf>
    <xf numFmtId="0" fontId="10" fillId="0" borderId="30" xfId="0" applyFont="1" applyBorder="1" applyAlignment="1">
      <alignment horizontal="center"/>
    </xf>
    <xf numFmtId="4" fontId="10" fillId="0" borderId="30" xfId="0" applyNumberFormat="1" applyFont="1" applyBorder="1" applyAlignment="1">
      <alignment horizontal="right" vertical="center"/>
    </xf>
    <xf numFmtId="4" fontId="10" fillId="0" borderId="30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4" fontId="10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0" fillId="0" borderId="29" xfId="0" applyFont="1" applyBorder="1" applyAlignment="1">
      <alignment horizontal="center" vertical="top"/>
    </xf>
    <xf numFmtId="0" fontId="11" fillId="0" borderId="38" xfId="0" applyFont="1" applyBorder="1" applyAlignment="1">
      <alignment horizontal="right"/>
    </xf>
    <xf numFmtId="0" fontId="10" fillId="0" borderId="22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/>
    </xf>
    <xf numFmtId="4" fontId="10" fillId="0" borderId="22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0" fillId="0" borderId="3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left" vertical="center"/>
    </xf>
    <xf numFmtId="0" fontId="11" fillId="0" borderId="23" xfId="0" applyFont="1" applyBorder="1" applyAlignment="1">
      <alignment wrapText="1"/>
    </xf>
    <xf numFmtId="0" fontId="11" fillId="0" borderId="41" xfId="0" applyFont="1" applyBorder="1" applyAlignment="1">
      <alignment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/>
    </xf>
    <xf numFmtId="0" fontId="4" fillId="0" borderId="4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/>
    </xf>
    <xf numFmtId="16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left" vertical="center"/>
    </xf>
    <xf numFmtId="0" fontId="10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/>
    </xf>
    <xf numFmtId="0" fontId="10" fillId="0" borderId="16" xfId="0" applyFont="1" applyBorder="1" applyAlignment="1">
      <alignment horizontal="right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34" borderId="11" xfId="0" applyFont="1" applyFill="1" applyBorder="1" applyAlignment="1">
      <alignment horizontal="left" vertical="center" wrapText="1"/>
    </xf>
    <xf numFmtId="4" fontId="4" fillId="34" borderId="20" xfId="0" applyNumberFormat="1" applyFont="1" applyFill="1" applyBorder="1" applyAlignment="1">
      <alignment horizontal="right" vertical="center"/>
    </xf>
    <xf numFmtId="4" fontId="4" fillId="34" borderId="29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 vertical="center"/>
    </xf>
    <xf numFmtId="4" fontId="10" fillId="34" borderId="11" xfId="0" applyNumberFormat="1" applyFont="1" applyFill="1" applyBorder="1" applyAlignment="1">
      <alignment horizontal="right" vertical="center"/>
    </xf>
    <xf numFmtId="4" fontId="10" fillId="34" borderId="10" xfId="0" applyNumberFormat="1" applyFont="1" applyFill="1" applyBorder="1" applyAlignment="1">
      <alignment horizontal="right"/>
    </xf>
    <xf numFmtId="4" fontId="10" fillId="34" borderId="30" xfId="0" applyNumberFormat="1" applyFont="1" applyFill="1" applyBorder="1" applyAlignment="1">
      <alignment horizontal="right" vertical="center"/>
    </xf>
    <xf numFmtId="4" fontId="10" fillId="34" borderId="21" xfId="0" applyNumberFormat="1" applyFont="1" applyFill="1" applyBorder="1" applyAlignment="1">
      <alignment horizontal="right"/>
    </xf>
    <xf numFmtId="4" fontId="10" fillId="34" borderId="30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/>
    </xf>
    <xf numFmtId="4" fontId="4" fillId="34" borderId="31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0" borderId="21" xfId="0" applyFont="1" applyBorder="1" applyAlignment="1">
      <alignment horizontal="left" vertical="center" wrapText="1"/>
    </xf>
    <xf numFmtId="0" fontId="0" fillId="0" borderId="40" xfId="0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4" fillId="0" borderId="20" xfId="0" applyFont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4" fillId="33" borderId="27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center" wrapText="1"/>
    </xf>
    <xf numFmtId="0" fontId="0" fillId="33" borderId="43" xfId="0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0" fillId="33" borderId="44" xfId="0" applyFont="1" applyFill="1" applyBorder="1" applyAlignment="1">
      <alignment horizontal="left" wrapText="1"/>
    </xf>
    <xf numFmtId="0" fontId="10" fillId="33" borderId="45" xfId="0" applyFont="1" applyFill="1" applyBorder="1" applyAlignment="1">
      <alignment horizontal="left" wrapText="1"/>
    </xf>
    <xf numFmtId="0" fontId="2" fillId="0" borderId="45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4" fillId="33" borderId="47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wrapText="1"/>
    </xf>
    <xf numFmtId="0" fontId="4" fillId="33" borderId="34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48" xfId="0" applyFont="1" applyFill="1" applyBorder="1" applyAlignment="1">
      <alignment horizontal="center" wrapText="1"/>
    </xf>
    <xf numFmtId="0" fontId="0" fillId="33" borderId="48" xfId="0" applyFill="1" applyBorder="1" applyAlignment="1">
      <alignment wrapText="1"/>
    </xf>
    <xf numFmtId="0" fontId="4" fillId="33" borderId="28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center" wrapText="1"/>
    </xf>
    <xf numFmtId="0" fontId="0" fillId="33" borderId="45" xfId="0" applyFill="1" applyBorder="1" applyAlignment="1">
      <alignment wrapText="1"/>
    </xf>
    <xf numFmtId="0" fontId="4" fillId="33" borderId="15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wrapText="1"/>
    </xf>
    <xf numFmtId="0" fontId="0" fillId="33" borderId="48" xfId="0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wrapText="1"/>
    </xf>
    <xf numFmtId="0" fontId="0" fillId="35" borderId="45" xfId="0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16">
      <selection activeCell="G16" sqref="G16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5.00390625" style="0" customWidth="1"/>
    <col min="4" max="4" width="9.7109375" style="0" customWidth="1"/>
    <col min="5" max="5" width="7.00390625" style="0" customWidth="1"/>
    <col min="6" max="6" width="10.7109375" style="5" customWidth="1"/>
    <col min="7" max="7" width="10.8515625" style="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0" s="10" customFormat="1" ht="11.25">
      <c r="A1" s="10" t="s">
        <v>5</v>
      </c>
      <c r="F1" s="6"/>
      <c r="G1" s="6"/>
      <c r="J1" s="10" t="s">
        <v>285</v>
      </c>
    </row>
    <row r="2" spans="6:8" s="10" customFormat="1" ht="11.25">
      <c r="F2" s="6"/>
      <c r="G2" s="6"/>
      <c r="H2" s="92" t="s">
        <v>155</v>
      </c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8" ht="15.75" thickBot="1">
      <c r="A5" s="7"/>
      <c r="B5" s="7"/>
      <c r="C5" s="7"/>
      <c r="D5" s="7"/>
      <c r="E5" s="7"/>
      <c r="F5" s="8"/>
      <c r="H5" s="10"/>
    </row>
    <row r="6" spans="1:11" ht="12.75">
      <c r="A6" s="290" t="s">
        <v>9</v>
      </c>
      <c r="B6" s="278" t="s">
        <v>66</v>
      </c>
      <c r="C6" s="278" t="s">
        <v>67</v>
      </c>
      <c r="D6" s="278" t="s">
        <v>10</v>
      </c>
      <c r="E6" s="278" t="s">
        <v>11</v>
      </c>
      <c r="F6" s="278" t="s">
        <v>12</v>
      </c>
      <c r="G6" s="278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79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21" customHeight="1" thickBot="1">
      <c r="A9" s="282" t="s">
        <v>59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/>
      <c r="D10" s="17"/>
      <c r="E10" s="18"/>
      <c r="F10" s="19"/>
      <c r="G10" s="19"/>
      <c r="H10" s="11"/>
      <c r="I10" s="12"/>
      <c r="J10" s="13"/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f>(SFR!F11+'N01'!F11+'N02'!F11+'N03'!F11+'N04'!F11+'N06'!F11+'N07'!F11+'N08'!F11+'N09'!F11+'N18'!F11+'GARAŻE N01'!F11+'GARAŻE N02'!F11+'GARAŻE N04'!F11+'GARAŻE N06'!F11+'DŹWIGI N01'!F11+'DŹWIGI N03'!F11+'DŹWIGI N04'!F11+'DŹWIGI N06'!F11+'DŹWIGI N07'!F11+'DŹWIGI N18'!F11)</f>
        <v>1999000</v>
      </c>
      <c r="G11" s="44">
        <f>(SFR!G11+'N01'!G11+'N02'!G11+'N03'!G11+'N04'!G11+'N06'!G11+'N07'!G11+'N08'!G11+'N09'!G11+'N18'!G11+'GARAŻE N01'!G11+'GARAŻE N02'!G11+'GARAŻE N04'!G11+'GARAŻE N06'!G11+'DŹWIGI N01'!G11+'DŹWIGI N03'!G11+'DŹWIGI N04'!G11+'DŹWIGI N06'!G11+'DŹWIGI N07'!G11+'DŹWIGI N18'!G11)</f>
        <v>2168663</v>
      </c>
      <c r="H11" s="285" t="s">
        <v>281</v>
      </c>
      <c r="I11" s="286"/>
      <c r="J11" s="286"/>
      <c r="K11" s="287"/>
    </row>
    <row r="12" spans="1:11" s="14" customFormat="1" ht="13.5" customHeight="1">
      <c r="A12" s="272" t="s">
        <v>267</v>
      </c>
      <c r="B12" s="273"/>
      <c r="C12" s="273"/>
      <c r="D12" s="273"/>
      <c r="E12" s="273"/>
      <c r="F12" s="41">
        <f>(SFR!F12+SFR!F13+'N01'!F12+'N02'!F12+'N03'!F12+'N04'!F12+'N06'!F12+'N07'!F12+'N08'!F12+'N09'!F12+'N18'!F12+'GARAŻE N01'!F12+'GARAŻE N02'!F12+'GARAŻE N04'!F12+'GARAŻE N06'!F12)</f>
        <v>2109417.312</v>
      </c>
      <c r="G12" s="41">
        <f>(SFR!G12+SFR!G13+'N01'!G12+'N02'!G12+'N03'!G12+'N04'!G12+'N06'!G12+'N07'!G12+'N08'!G12+'N09'!G12+'N18'!G12+'GARAŻE N01'!G12+'GARAŻE N02'!G12+'GARAŻE N04'!G12+'GARAŻE N06'!G12)</f>
        <v>2112703.2899999996</v>
      </c>
      <c r="H12" s="274"/>
      <c r="I12" s="275"/>
      <c r="J12" s="275"/>
      <c r="K12" s="53"/>
    </row>
    <row r="13" spans="1:11" s="40" customFormat="1" ht="12.75" customHeight="1">
      <c r="A13" s="276" t="s">
        <v>268</v>
      </c>
      <c r="B13" s="277"/>
      <c r="C13" s="277"/>
      <c r="D13" s="277"/>
      <c r="E13" s="277"/>
      <c r="F13" s="41">
        <f>('DŹWIGI N01'!F12+'DŹWIGI N03'!F12+'DŹWIGI N04'!F12+'DŹWIGI N06'!F12+'DŹWIGI N07'!F12+'DŹWIGI N18'!F12)</f>
        <v>139292</v>
      </c>
      <c r="G13" s="41">
        <f>('DŹWIGI N01'!G12+'DŹWIGI N03'!G12+'DŹWIGI N04'!G12+'DŹWIGI N06'!G12+'DŹWIGI N07'!G12+'DŹWIGI N18'!G12)</f>
        <v>181685</v>
      </c>
      <c r="H13" s="274"/>
      <c r="I13" s="275"/>
      <c r="J13" s="275"/>
      <c r="K13" s="53"/>
    </row>
    <row r="14" spans="1:11" s="40" customFormat="1" ht="12.75" customHeight="1">
      <c r="A14" s="276" t="s">
        <v>265</v>
      </c>
      <c r="B14" s="277"/>
      <c r="C14" s="277"/>
      <c r="D14" s="277"/>
      <c r="E14" s="277"/>
      <c r="F14" s="41">
        <f>(SFR!F14+'N01'!F14+'N02'!F14+'N03'!F14+'N04'!F14+'N06'!F14+'N07'!F14+'N08'!F14+'N09'!F14+'N18'!F14+'GARAŻE N01'!F14+'GARAŻE N02'!F14+'GARAŻE N04'!F14+'GARAŻE N06'!F14+'DŹWIGI N01'!F14+'DŹWIGI N03'!F14+'DŹWIGI N04'!F14+'DŹWIGI N06'!F14+'DŹWIGI N07'!F14+'DŹWIGI N18'!F14)</f>
        <v>43440</v>
      </c>
      <c r="G14" s="41">
        <f>(SFR!G14+'N01'!G14+'N02'!G14+'N03'!G14+'N04'!G14+'N06'!G14+'N07'!G14+'N08'!G14+'N09'!G14+'N18'!G14+'GARAŻE N01'!G14+'GARAŻE N02'!G14+'GARAŻE N04'!G14+'GARAŻE N06'!G14+'DŹWIGI N01'!G14+'DŹWIGI N03'!G14+'DŹWIGI N04'!G14+'DŹWIGI N06'!G14+'DŹWIGI N07'!G14+'DŹWIGI N18'!G14)</f>
        <v>10901.08</v>
      </c>
      <c r="H14" s="274"/>
      <c r="I14" s="275"/>
      <c r="J14" s="275"/>
      <c r="K14" s="53"/>
    </row>
    <row r="15" spans="1:11" s="14" customFormat="1" ht="13.5" customHeight="1">
      <c r="A15" s="272" t="s">
        <v>266</v>
      </c>
      <c r="B15" s="273"/>
      <c r="C15" s="273"/>
      <c r="D15" s="273"/>
      <c r="E15" s="273"/>
      <c r="F15" s="41">
        <f>(SFR!F15+'N01'!F15+'N02'!F15+'N03'!F15+'N04'!F15+'N06'!F15+'N07'!F15+'N08'!F15+'N09'!F15+'N18'!F15+'GARAŻE N01'!F15+'GARAŻE N02'!F15+'GARAŻE N04'!F15+'GARAŻE N06'!F15+'DŹWIGI N01'!F15+'DŹWIGI N03'!F15+'DŹWIGI N04'!F15+'DŹWIGI N06'!F15+'DŹWIGI N07'!F15)</f>
        <v>0</v>
      </c>
      <c r="G15" s="41">
        <f>(SFR!G15+'N01'!G15+'N02'!G15+'N03'!G15+'N04'!G15+'N06'!G15+'N07'!G15+'N08'!G15+'N09'!G15+'N18'!G15+'GARAŻE N01'!G15+'GARAŻE N02'!G15+'GARAŻE N04'!G15+'GARAŻE N06'!G15+'DŹWIGI N01'!G15+'DŹWIGI N03'!G15+'DŹWIGI N04'!G15+'DŹWIGI N06'!G15+'DŹWIGI N07'!G15)</f>
        <v>1.2732925824820995E-11</v>
      </c>
      <c r="H15" s="274" t="s">
        <v>264</v>
      </c>
      <c r="I15" s="275"/>
      <c r="J15" s="275"/>
      <c r="K15" s="53"/>
    </row>
    <row r="16" spans="1:11" s="39" customFormat="1" ht="12.75" customHeight="1" thickBot="1">
      <c r="A16" s="252" t="s">
        <v>38</v>
      </c>
      <c r="B16" s="253"/>
      <c r="C16" s="253"/>
      <c r="D16" s="253"/>
      <c r="E16" s="253"/>
      <c r="F16" s="45">
        <f>F11+F12+F13+F14+F15</f>
        <v>4291149.312</v>
      </c>
      <c r="G16" s="45">
        <f>G11+G12+G13+G14+G15</f>
        <v>4473952.369999999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8"/>
      <c r="H17" s="59"/>
      <c r="I17" s="62"/>
      <c r="J17" s="62"/>
      <c r="K17" s="60"/>
    </row>
    <row r="18" spans="1:11" ht="12.75">
      <c r="A18" s="67" t="s">
        <v>31</v>
      </c>
      <c r="B18" s="114" t="s">
        <v>112</v>
      </c>
      <c r="C18" s="113" t="s">
        <v>113</v>
      </c>
      <c r="D18" s="69"/>
      <c r="E18" s="68"/>
      <c r="F18" s="44">
        <f>SFR!F36</f>
        <v>20000</v>
      </c>
      <c r="G18" s="44">
        <f>SFR!G36</f>
        <v>49306.19</v>
      </c>
      <c r="H18" s="68"/>
      <c r="I18" s="68"/>
      <c r="J18" s="250"/>
      <c r="K18" s="251"/>
    </row>
    <row r="19" spans="1:11" ht="12.75">
      <c r="A19" s="71" t="s">
        <v>22</v>
      </c>
      <c r="B19" s="66" t="s">
        <v>65</v>
      </c>
      <c r="C19" s="51" t="s">
        <v>70</v>
      </c>
      <c r="D19" s="66"/>
      <c r="E19" s="51"/>
      <c r="F19" s="41">
        <f>'N01'!F36</f>
        <v>460375</v>
      </c>
      <c r="G19" s="41">
        <f>'N01'!G36</f>
        <v>802685.4000000001</v>
      </c>
      <c r="H19" s="51"/>
      <c r="I19" s="51"/>
      <c r="J19" s="244"/>
      <c r="K19" s="245"/>
    </row>
    <row r="20" spans="1:11" ht="12.75">
      <c r="A20" s="71" t="s">
        <v>23</v>
      </c>
      <c r="B20" s="66" t="s">
        <v>65</v>
      </c>
      <c r="C20" s="51" t="s">
        <v>69</v>
      </c>
      <c r="D20" s="66"/>
      <c r="E20" s="51"/>
      <c r="F20" s="41">
        <f>'N02'!F36</f>
        <v>20000</v>
      </c>
      <c r="G20" s="41">
        <f>'N02'!G36</f>
        <v>28553.620000000003</v>
      </c>
      <c r="H20" s="51"/>
      <c r="I20" s="51"/>
      <c r="J20" s="244"/>
      <c r="K20" s="245"/>
    </row>
    <row r="21" spans="1:11" ht="12.75">
      <c r="A21" s="71" t="s">
        <v>25</v>
      </c>
      <c r="B21" s="66" t="s">
        <v>65</v>
      </c>
      <c r="C21" s="51" t="s">
        <v>18</v>
      </c>
      <c r="D21" s="66"/>
      <c r="E21" s="51"/>
      <c r="F21" s="41">
        <f>'N03'!F36</f>
        <v>60000</v>
      </c>
      <c r="G21" s="41">
        <f>'N03'!G36</f>
        <v>34037.21</v>
      </c>
      <c r="H21" s="51"/>
      <c r="I21" s="51"/>
      <c r="J21" s="244"/>
      <c r="K21" s="245"/>
    </row>
    <row r="22" spans="1:11" ht="12.75">
      <c r="A22" s="71" t="s">
        <v>24</v>
      </c>
      <c r="B22" s="66" t="s">
        <v>65</v>
      </c>
      <c r="C22" s="51" t="s">
        <v>68</v>
      </c>
      <c r="D22" s="66"/>
      <c r="E22" s="51"/>
      <c r="F22" s="41">
        <f>'N04'!F36</f>
        <v>440900</v>
      </c>
      <c r="G22" s="41">
        <f>'N04'!G36</f>
        <v>387966.07999999996</v>
      </c>
      <c r="H22" s="51"/>
      <c r="I22" s="51"/>
      <c r="J22" s="244"/>
      <c r="K22" s="245"/>
    </row>
    <row r="23" spans="1:11" ht="12.75">
      <c r="A23" s="71" t="s">
        <v>60</v>
      </c>
      <c r="B23" s="66" t="s">
        <v>65</v>
      </c>
      <c r="C23" s="51" t="s">
        <v>74</v>
      </c>
      <c r="D23" s="66"/>
      <c r="E23" s="51"/>
      <c r="F23" s="41">
        <f>'N06'!F36</f>
        <v>320000</v>
      </c>
      <c r="G23" s="41">
        <f>'N06'!G36</f>
        <v>130815.6</v>
      </c>
      <c r="H23" s="51"/>
      <c r="I23" s="51"/>
      <c r="J23" s="244"/>
      <c r="K23" s="245"/>
    </row>
    <row r="24" spans="1:11" ht="12.75">
      <c r="A24" s="71" t="s">
        <v>61</v>
      </c>
      <c r="B24" s="66" t="s">
        <v>65</v>
      </c>
      <c r="C24" s="51" t="s">
        <v>21</v>
      </c>
      <c r="D24" s="66"/>
      <c r="E24" s="51"/>
      <c r="F24" s="41">
        <f>'N07'!F36</f>
        <v>72350</v>
      </c>
      <c r="G24" s="41">
        <f>'N07'!G36</f>
        <v>67742.98000000001</v>
      </c>
      <c r="H24" s="51"/>
      <c r="I24" s="51"/>
      <c r="J24" s="244"/>
      <c r="K24" s="245"/>
    </row>
    <row r="25" spans="1:11" ht="12.75">
      <c r="A25" s="71" t="s">
        <v>33</v>
      </c>
      <c r="B25" s="66" t="s">
        <v>65</v>
      </c>
      <c r="C25" s="22" t="s">
        <v>71</v>
      </c>
      <c r="D25" s="66"/>
      <c r="E25" s="51"/>
      <c r="F25" s="41">
        <f>'N08'!F36</f>
        <v>341200</v>
      </c>
      <c r="G25" s="41">
        <f>'N08'!G36</f>
        <v>95894.39000000001</v>
      </c>
      <c r="H25" s="51"/>
      <c r="I25" s="51"/>
      <c r="J25" s="244"/>
      <c r="K25" s="245"/>
    </row>
    <row r="26" spans="1:11" ht="12.75">
      <c r="A26" s="71" t="s">
        <v>62</v>
      </c>
      <c r="B26" s="66" t="s">
        <v>65</v>
      </c>
      <c r="C26" s="22" t="s">
        <v>72</v>
      </c>
      <c r="D26" s="66"/>
      <c r="E26" s="51"/>
      <c r="F26" s="41">
        <f>'N09'!F36</f>
        <v>105000</v>
      </c>
      <c r="G26" s="41">
        <f>'N09'!G36</f>
        <v>204573.37</v>
      </c>
      <c r="H26" s="51"/>
      <c r="I26" s="51"/>
      <c r="J26" s="244"/>
      <c r="K26" s="245"/>
    </row>
    <row r="27" spans="1:11" ht="12.75">
      <c r="A27" s="71" t="s">
        <v>34</v>
      </c>
      <c r="B27" s="115" t="s">
        <v>65</v>
      </c>
      <c r="C27" s="51" t="s">
        <v>19</v>
      </c>
      <c r="D27" s="66"/>
      <c r="E27" s="51"/>
      <c r="F27" s="41">
        <f>'N18'!F36</f>
        <v>20000</v>
      </c>
      <c r="G27" s="41">
        <f>'N18'!G36</f>
        <v>10572.919999999998</v>
      </c>
      <c r="H27" s="51"/>
      <c r="I27" s="51"/>
      <c r="J27" s="244"/>
      <c r="K27" s="245"/>
    </row>
    <row r="28" spans="1:11" ht="12.75">
      <c r="A28" s="71" t="s">
        <v>22</v>
      </c>
      <c r="B28" s="66" t="s">
        <v>63</v>
      </c>
      <c r="C28" s="51" t="s">
        <v>130</v>
      </c>
      <c r="D28" s="66"/>
      <c r="E28" s="51"/>
      <c r="F28" s="41">
        <f>'GARAŻE N01'!F36</f>
        <v>30000</v>
      </c>
      <c r="G28" s="41">
        <f>'GARAŻE N01'!G36</f>
        <v>12800</v>
      </c>
      <c r="H28" s="51"/>
      <c r="I28" s="51"/>
      <c r="J28" s="244"/>
      <c r="K28" s="245"/>
    </row>
    <row r="29" spans="1:11" ht="12.75">
      <c r="A29" s="71" t="s">
        <v>23</v>
      </c>
      <c r="B29" s="66" t="s">
        <v>63</v>
      </c>
      <c r="C29" s="51" t="s">
        <v>75</v>
      </c>
      <c r="D29" s="66"/>
      <c r="E29" s="51"/>
      <c r="F29" s="41">
        <f>'GARAŻE N02'!F36</f>
        <v>5000</v>
      </c>
      <c r="G29" s="41">
        <f>'GARAŻE N02'!G36</f>
        <v>0</v>
      </c>
      <c r="H29" s="51"/>
      <c r="I29" s="51"/>
      <c r="J29" s="244"/>
      <c r="K29" s="245"/>
    </row>
    <row r="30" spans="1:11" ht="12.75">
      <c r="A30" s="71" t="s">
        <v>24</v>
      </c>
      <c r="B30" s="66" t="s">
        <v>63</v>
      </c>
      <c r="C30" s="51" t="s">
        <v>131</v>
      </c>
      <c r="D30" s="66"/>
      <c r="E30" s="51"/>
      <c r="F30" s="41">
        <f>'GARAŻE N04'!F36</f>
        <v>5000</v>
      </c>
      <c r="G30" s="41">
        <f>'GARAŻE N04'!G36</f>
        <v>0</v>
      </c>
      <c r="H30" s="51"/>
      <c r="I30" s="51"/>
      <c r="J30" s="244"/>
      <c r="K30" s="245"/>
    </row>
    <row r="31" spans="1:11" ht="12.75">
      <c r="A31" s="71" t="s">
        <v>60</v>
      </c>
      <c r="B31" s="66" t="s">
        <v>63</v>
      </c>
      <c r="C31" s="51" t="s">
        <v>74</v>
      </c>
      <c r="D31" s="66"/>
      <c r="E31" s="51"/>
      <c r="F31" s="41">
        <f>'GARAŻE N06'!F36</f>
        <v>10000</v>
      </c>
      <c r="G31" s="41">
        <f>'GARAŻE N06'!G36</f>
        <v>27930</v>
      </c>
      <c r="H31" s="51"/>
      <c r="I31" s="51"/>
      <c r="J31" s="244"/>
      <c r="K31" s="245"/>
    </row>
    <row r="32" spans="1:11" ht="12.75">
      <c r="A32" s="71" t="s">
        <v>22</v>
      </c>
      <c r="B32" s="66" t="s">
        <v>64</v>
      </c>
      <c r="C32" s="51" t="s">
        <v>73</v>
      </c>
      <c r="D32" s="66"/>
      <c r="E32" s="51"/>
      <c r="F32" s="41">
        <f>'DŹWIGI N01'!F36</f>
        <v>20000</v>
      </c>
      <c r="G32" s="41">
        <f>'DŹWIGI N01'!G36</f>
        <v>3294.84</v>
      </c>
      <c r="H32" s="51"/>
      <c r="I32" s="51"/>
      <c r="J32" s="244"/>
      <c r="K32" s="245"/>
    </row>
    <row r="33" spans="1:11" ht="12.75">
      <c r="A33" s="71" t="s">
        <v>25</v>
      </c>
      <c r="B33" s="66" t="s">
        <v>64</v>
      </c>
      <c r="C33" s="51" t="s">
        <v>18</v>
      </c>
      <c r="D33" s="66"/>
      <c r="E33" s="51"/>
      <c r="F33" s="41">
        <f>'DŹWIGI N03'!F36</f>
        <v>10000</v>
      </c>
      <c r="G33" s="41">
        <f>'DŹWIGI N03'!G36</f>
        <v>189.42</v>
      </c>
      <c r="H33" s="51"/>
      <c r="I33" s="51"/>
      <c r="J33" s="244"/>
      <c r="K33" s="245"/>
    </row>
    <row r="34" spans="1:11" ht="12.75">
      <c r="A34" s="71" t="s">
        <v>24</v>
      </c>
      <c r="B34" s="66" t="s">
        <v>64</v>
      </c>
      <c r="C34" s="51" t="s">
        <v>32</v>
      </c>
      <c r="D34" s="66"/>
      <c r="E34" s="51"/>
      <c r="F34" s="41">
        <f>'DŹWIGI N04'!F36</f>
        <v>10000</v>
      </c>
      <c r="G34" s="41">
        <f>'DŹWIGI N04'!G36</f>
        <v>1053.42</v>
      </c>
      <c r="H34" s="51"/>
      <c r="I34" s="51"/>
      <c r="J34" s="244"/>
      <c r="K34" s="245"/>
    </row>
    <row r="35" spans="1:11" ht="12.75">
      <c r="A35" s="71" t="s">
        <v>60</v>
      </c>
      <c r="B35" s="66" t="s">
        <v>64</v>
      </c>
      <c r="C35" s="51" t="s">
        <v>74</v>
      </c>
      <c r="D35" s="66"/>
      <c r="E35" s="51"/>
      <c r="F35" s="41">
        <f>'DŹWIGI N06'!F36</f>
        <v>10000</v>
      </c>
      <c r="G35" s="41">
        <f>'DŹWIGI N06'!G36</f>
        <v>16742.33</v>
      </c>
      <c r="H35" s="51"/>
      <c r="I35" s="51"/>
      <c r="J35" s="244"/>
      <c r="K35" s="245"/>
    </row>
    <row r="36" spans="1:11" ht="12.75">
      <c r="A36" s="124" t="s">
        <v>61</v>
      </c>
      <c r="B36" s="117" t="s">
        <v>64</v>
      </c>
      <c r="C36" s="52" t="s">
        <v>21</v>
      </c>
      <c r="D36" s="117"/>
      <c r="E36" s="52"/>
      <c r="F36" s="110">
        <f>'DŹWIGI N07'!F36</f>
        <v>10000</v>
      </c>
      <c r="G36" s="110">
        <f>'DŹWIGI N07'!G36</f>
        <v>189.42</v>
      </c>
      <c r="H36" s="52"/>
      <c r="I36" s="52"/>
      <c r="J36" s="248"/>
      <c r="K36" s="249"/>
    </row>
    <row r="37" spans="1:11" ht="13.5" thickBot="1">
      <c r="A37" s="72" t="s">
        <v>34</v>
      </c>
      <c r="B37" s="74" t="s">
        <v>64</v>
      </c>
      <c r="C37" s="73" t="s">
        <v>19</v>
      </c>
      <c r="D37" s="74"/>
      <c r="E37" s="73"/>
      <c r="F37" s="45">
        <f>'DŹWIGI N18'!F36</f>
        <v>10000</v>
      </c>
      <c r="G37" s="45">
        <f>'DŹWIGI N18'!G36</f>
        <v>189.42</v>
      </c>
      <c r="H37" s="73"/>
      <c r="I37" s="73"/>
      <c r="J37" s="246"/>
      <c r="K37" s="247"/>
    </row>
    <row r="38" spans="1:11" ht="13.5" thickBot="1">
      <c r="A38" s="77"/>
      <c r="B38" s="78"/>
      <c r="C38" s="43"/>
      <c r="D38" s="79"/>
      <c r="E38" s="21"/>
      <c r="F38" s="75"/>
      <c r="G38" s="36"/>
      <c r="H38" s="21"/>
      <c r="I38" s="21"/>
      <c r="J38" s="79"/>
      <c r="K38" s="47"/>
    </row>
    <row r="39" spans="1:11" s="14" customFormat="1" ht="13.5" customHeight="1">
      <c r="A39" s="268" t="s">
        <v>37</v>
      </c>
      <c r="B39" s="269"/>
      <c r="C39" s="269"/>
      <c r="D39" s="269"/>
      <c r="E39" s="269"/>
      <c r="F39" s="44">
        <f>(SFR!F36+'N01'!F36+'N02'!F36+'N03'!F36+'N04'!F36+'N06'!F36+'N07'!F36+'N08'!F36+'N09'!F36+'N18'!F36+'GARAŻE N01'!F36+'GARAŻE N02'!F36+'GARAŻE N04'!F36+'GARAŻE N06'!F36+'DŹWIGI N01'!F36+'DŹWIGI N03'!F36+'DŹWIGI N04'!F36+'DŹWIGI N06'!F36+'DŹWIGI N07'!F36+'DŹWIGI N18'!F36)</f>
        <v>1979825</v>
      </c>
      <c r="G39" s="44">
        <f>(SFR!G36+'N01'!G36+'N02'!G36+'N03'!G36+'N04'!G36+'N06'!G36+'N07'!G36+'N08'!G36+'N09'!G36+'N18'!G36+'GARAŻE N01'!G36+'GARAŻE N02'!G36+'GARAŻE N04'!G36+'GARAŻE N06'!G36+'DŹWIGI N01'!G36+'DŹWIGI N03'!G36+'DŹWIGI N04'!G36+'DŹWIGI N06'!G36+'DŹWIGI N07'!G36+'DŹWIGI N18'!G36)</f>
        <v>1874536.61</v>
      </c>
      <c r="H39" s="270"/>
      <c r="I39" s="271"/>
      <c r="J39" s="271"/>
      <c r="K39" s="91"/>
    </row>
    <row r="40" spans="1:11" s="14" customFormat="1" ht="13.5" customHeight="1">
      <c r="A40" s="109"/>
      <c r="B40" s="260" t="s">
        <v>4</v>
      </c>
      <c r="C40" s="261"/>
      <c r="D40" s="262"/>
      <c r="E40" s="263"/>
      <c r="F40" s="136">
        <f>(SFR!F37+'N01'!F37+'N02'!F37+'N03'!F37+'N04'!F37+'N06'!F37+'N07'!F37+'N08'!F37+'N09'!F37+'N18'!F37+'GARAŻE N01'!F37+'GARAŻE N02'!F37+'GARAŻE N04'!F37+'GARAŻE N06'!F37+'DŹWIGI N01'!F37+'DŹWIGI N03'!F37+'DŹWIGI N04'!F37+'DŹWIGI N06'!F37+'DŹWIGI N07'!F37+'DŹWIGI N18'!F37)</f>
        <v>245000</v>
      </c>
      <c r="G40" s="136">
        <f>(SFR!G37+'N01'!G37+'N02'!G37+'N03'!G37+'N04'!G37+'N06'!G37+'N07'!G37+'N08'!G37+'N09'!G37+'N18'!G37+'GARAŻE N01'!G37+'GARAŻE N02'!G37+'GARAŻE N04'!G37+'GARAŻE N06'!G37+'DŹWIGI N01'!G37+'DŹWIGI N03'!G37+'DŹWIGI N04'!G37+'DŹWIGI N06'!G37+'DŹWIGI N07'!G37+'DŹWIGI N18'!G37)</f>
        <v>11358.820000000002</v>
      </c>
      <c r="H40" s="264"/>
      <c r="I40" s="265"/>
      <c r="J40" s="265"/>
      <c r="K40" s="55"/>
    </row>
    <row r="41" spans="1:11" s="14" customFormat="1" ht="13.5" customHeight="1">
      <c r="A41" s="109"/>
      <c r="B41" s="258" t="s">
        <v>3</v>
      </c>
      <c r="C41" s="258"/>
      <c r="D41" s="259"/>
      <c r="E41" s="259"/>
      <c r="F41" s="42">
        <f>F39-F40</f>
        <v>1734825</v>
      </c>
      <c r="G41" s="42">
        <f>G39-G40</f>
        <v>1863177.79</v>
      </c>
      <c r="H41" s="256"/>
      <c r="I41" s="257"/>
      <c r="J41" s="257"/>
      <c r="K41" s="35"/>
    </row>
    <row r="42" spans="1:11" s="14" customFormat="1" ht="13.5" customHeight="1" thickBot="1">
      <c r="A42" s="266" t="s">
        <v>236</v>
      </c>
      <c r="B42" s="267"/>
      <c r="C42" s="267"/>
      <c r="D42" s="267"/>
      <c r="E42" s="267"/>
      <c r="F42" s="46">
        <f>F16-F39</f>
        <v>2311324.312</v>
      </c>
      <c r="G42" s="46">
        <f>G16-G39</f>
        <v>2599415.759999999</v>
      </c>
      <c r="H42" s="254"/>
      <c r="I42" s="255"/>
      <c r="J42" s="255"/>
      <c r="K42" s="54"/>
    </row>
    <row r="43" ht="12.75">
      <c r="K43" s="137"/>
    </row>
    <row r="44" spans="3:11" ht="12.75">
      <c r="C44" t="s">
        <v>84</v>
      </c>
      <c r="K44" s="137" t="s">
        <v>87</v>
      </c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54"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A14:E14"/>
    <mergeCell ref="H14:J14"/>
    <mergeCell ref="I6:I7"/>
    <mergeCell ref="J6:J7"/>
    <mergeCell ref="K6:K7"/>
    <mergeCell ref="A9:K9"/>
    <mergeCell ref="A11:E11"/>
    <mergeCell ref="H11:K11"/>
    <mergeCell ref="A42:E42"/>
    <mergeCell ref="H42:J42"/>
    <mergeCell ref="A39:E39"/>
    <mergeCell ref="H39:J39"/>
    <mergeCell ref="A12:E12"/>
    <mergeCell ref="H12:J12"/>
    <mergeCell ref="A15:E15"/>
    <mergeCell ref="H15:J15"/>
    <mergeCell ref="A13:E13"/>
    <mergeCell ref="H13:J13"/>
    <mergeCell ref="J29:K29"/>
    <mergeCell ref="A16:E16"/>
    <mergeCell ref="H16:J16"/>
    <mergeCell ref="H41:J41"/>
    <mergeCell ref="B41:E41"/>
    <mergeCell ref="J20:K20"/>
    <mergeCell ref="J27:K27"/>
    <mergeCell ref="B40:E40"/>
    <mergeCell ref="H40:J40"/>
    <mergeCell ref="J21:K21"/>
    <mergeCell ref="J19:K19"/>
    <mergeCell ref="J18:K18"/>
    <mergeCell ref="J28:K28"/>
    <mergeCell ref="J22:K22"/>
    <mergeCell ref="J26:K26"/>
    <mergeCell ref="J25:K25"/>
    <mergeCell ref="J24:K24"/>
    <mergeCell ref="J23:K23"/>
    <mergeCell ref="J34:K34"/>
    <mergeCell ref="J35:K35"/>
    <mergeCell ref="J37:K37"/>
    <mergeCell ref="J30:K30"/>
    <mergeCell ref="J31:K31"/>
    <mergeCell ref="J32:K32"/>
    <mergeCell ref="J33:K33"/>
    <mergeCell ref="J36:K36"/>
  </mergeCells>
  <printOptions horizontalCentered="1"/>
  <pageMargins left="0" right="0" top="0" bottom="0" header="0" footer="0"/>
  <pageSetup horizontalDpi="600" verticalDpi="600" orientation="landscape" paperSize="9" scale="9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4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52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17</v>
      </c>
      <c r="D10" s="17">
        <v>3673.8</v>
      </c>
      <c r="E10" s="18" t="s">
        <v>6</v>
      </c>
      <c r="F10" s="19"/>
      <c r="G10" s="127"/>
      <c r="H10" s="11" t="s">
        <v>8</v>
      </c>
      <c r="I10" s="12">
        <v>1.5</v>
      </c>
      <c r="J10" s="13" t="s">
        <v>7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20000</v>
      </c>
      <c r="G11" s="44">
        <v>28008.71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D10*I10*12</f>
        <v>66128.40000000001</v>
      </c>
      <c r="G12" s="41">
        <f>30506.4+35622</f>
        <v>66128.4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>
        <v>0</v>
      </c>
      <c r="H13" s="274"/>
      <c r="I13" s="275"/>
      <c r="J13" s="275"/>
      <c r="K13" s="53"/>
    </row>
    <row r="14" spans="1:11" s="40" customFormat="1" ht="12.75" customHeight="1">
      <c r="A14" s="276" t="s">
        <v>39</v>
      </c>
      <c r="B14" s="277"/>
      <c r="C14" s="277"/>
      <c r="D14" s="277"/>
      <c r="E14" s="277"/>
      <c r="F14" s="41">
        <v>0</v>
      </c>
      <c r="G14" s="41">
        <v>0</v>
      </c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>
        <f>4724.52+5516.73</f>
        <v>10241.25</v>
      </c>
      <c r="H15" s="274" t="s">
        <v>264</v>
      </c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86128.40000000001</v>
      </c>
      <c r="G16" s="45">
        <f>G11+G12+G13+G14+G15</f>
        <v>104378.35999999999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1">
        <v>1</v>
      </c>
      <c r="B18" s="85" t="s">
        <v>86</v>
      </c>
      <c r="C18" s="85" t="s">
        <v>190</v>
      </c>
      <c r="D18" s="89" t="s">
        <v>142</v>
      </c>
      <c r="E18" s="89"/>
      <c r="F18" s="95">
        <v>100000</v>
      </c>
      <c r="G18" s="241">
        <f>64795.97+74700.63</f>
        <v>139496.6</v>
      </c>
      <c r="H18" s="89" t="s">
        <v>276</v>
      </c>
      <c r="I18" s="89"/>
      <c r="J18" s="89" t="s">
        <v>3</v>
      </c>
      <c r="K18" s="112"/>
    </row>
    <row r="19" spans="1:11" ht="12.75">
      <c r="A19" s="29">
        <v>2</v>
      </c>
      <c r="B19" s="30"/>
      <c r="C19" s="30" t="s">
        <v>20</v>
      </c>
      <c r="D19" s="4"/>
      <c r="E19" s="221"/>
      <c r="F19" s="31">
        <v>5000</v>
      </c>
      <c r="G19" s="231"/>
      <c r="H19" s="4">
        <v>2015</v>
      </c>
      <c r="I19" s="4"/>
      <c r="J19" s="34" t="s">
        <v>4</v>
      </c>
      <c r="K19" s="32"/>
    </row>
    <row r="20" spans="1:11" ht="12.75">
      <c r="A20" s="29">
        <v>3</v>
      </c>
      <c r="B20" s="170" t="s">
        <v>228</v>
      </c>
      <c r="C20" s="150" t="s">
        <v>111</v>
      </c>
      <c r="D20" s="147"/>
      <c r="E20" s="147"/>
      <c r="F20" s="144"/>
      <c r="G20" s="233">
        <f>553.5+6760.2+553.5+8491.8</f>
        <v>16359</v>
      </c>
      <c r="H20" s="147" t="s">
        <v>276</v>
      </c>
      <c r="I20" s="147"/>
      <c r="J20" s="147" t="s">
        <v>3</v>
      </c>
      <c r="K20" s="179"/>
    </row>
    <row r="21" spans="1:11" ht="12.75">
      <c r="A21" s="29">
        <v>4</v>
      </c>
      <c r="B21" s="170" t="s">
        <v>228</v>
      </c>
      <c r="C21" s="170" t="s">
        <v>191</v>
      </c>
      <c r="D21" s="147"/>
      <c r="E21" s="147"/>
      <c r="F21" s="144"/>
      <c r="G21" s="233">
        <v>13814.44</v>
      </c>
      <c r="H21" s="147" t="s">
        <v>276</v>
      </c>
      <c r="I21" s="147"/>
      <c r="J21" s="147" t="s">
        <v>3</v>
      </c>
      <c r="K21" s="178" t="s">
        <v>227</v>
      </c>
    </row>
    <row r="22" spans="1:11" ht="12.75">
      <c r="A22" s="29">
        <v>5</v>
      </c>
      <c r="B22" s="170" t="s">
        <v>228</v>
      </c>
      <c r="C22" s="170" t="s">
        <v>258</v>
      </c>
      <c r="D22" s="147"/>
      <c r="E22" s="147"/>
      <c r="F22" s="144"/>
      <c r="G22" s="233">
        <v>2538</v>
      </c>
      <c r="H22" s="147">
        <v>2015</v>
      </c>
      <c r="I22" s="147"/>
      <c r="J22" s="147" t="s">
        <v>3</v>
      </c>
      <c r="K22" s="179"/>
    </row>
    <row r="23" spans="1:11" ht="12.75">
      <c r="A23" s="29">
        <v>6</v>
      </c>
      <c r="B23" s="170" t="s">
        <v>62</v>
      </c>
      <c r="C23" s="170" t="s">
        <v>203</v>
      </c>
      <c r="D23" s="147"/>
      <c r="E23" s="147"/>
      <c r="F23" s="144"/>
      <c r="G23" s="233">
        <v>10.2</v>
      </c>
      <c r="H23" s="147">
        <v>2015</v>
      </c>
      <c r="I23" s="147"/>
      <c r="J23" s="146" t="s">
        <v>4</v>
      </c>
      <c r="K23" s="179"/>
    </row>
    <row r="24" spans="1:11" ht="12.75">
      <c r="A24" s="28">
        <v>7</v>
      </c>
      <c r="B24" s="170" t="s">
        <v>228</v>
      </c>
      <c r="C24" s="143" t="s">
        <v>257</v>
      </c>
      <c r="D24" s="151"/>
      <c r="E24" s="92"/>
      <c r="F24" s="152"/>
      <c r="G24" s="236">
        <f>10167.95+10330.23</f>
        <v>20498.18</v>
      </c>
      <c r="H24" s="92" t="s">
        <v>279</v>
      </c>
      <c r="I24" s="92"/>
      <c r="J24" s="151" t="s">
        <v>3</v>
      </c>
      <c r="K24" s="180"/>
    </row>
    <row r="25" spans="1:11" ht="12.75">
      <c r="A25" s="28">
        <v>8</v>
      </c>
      <c r="B25" s="145" t="s">
        <v>259</v>
      </c>
      <c r="C25" s="167" t="s">
        <v>169</v>
      </c>
      <c r="D25" s="146"/>
      <c r="E25" s="147"/>
      <c r="F25" s="148"/>
      <c r="G25" s="233">
        <f>3963.6+1416.96+1058.4</f>
        <v>6438.959999999999</v>
      </c>
      <c r="H25" s="147">
        <v>2015</v>
      </c>
      <c r="I25" s="147"/>
      <c r="J25" s="151" t="s">
        <v>3</v>
      </c>
      <c r="K25" s="180"/>
    </row>
    <row r="26" spans="1:11" ht="12.75">
      <c r="A26" s="120">
        <v>9</v>
      </c>
      <c r="B26" s="145" t="s">
        <v>259</v>
      </c>
      <c r="C26" s="167" t="s">
        <v>260</v>
      </c>
      <c r="D26" s="146"/>
      <c r="E26" s="147"/>
      <c r="F26" s="148"/>
      <c r="G26" s="233">
        <v>5417.99</v>
      </c>
      <c r="H26" s="147" t="s">
        <v>279</v>
      </c>
      <c r="I26" s="147"/>
      <c r="J26" s="146" t="s">
        <v>3</v>
      </c>
      <c r="K26" s="180"/>
    </row>
    <row r="27" spans="1:11" ht="12.75">
      <c r="A27" s="28">
        <v>10</v>
      </c>
      <c r="B27" s="145"/>
      <c r="C27" s="167"/>
      <c r="D27" s="146"/>
      <c r="E27" s="147"/>
      <c r="F27" s="148"/>
      <c r="G27" s="144"/>
      <c r="H27" s="147"/>
      <c r="I27" s="147"/>
      <c r="J27" s="146"/>
      <c r="K27" s="180"/>
    </row>
    <row r="28" spans="1:11" ht="12.75">
      <c r="A28" s="28">
        <v>11</v>
      </c>
      <c r="B28" s="145"/>
      <c r="C28" s="167"/>
      <c r="D28" s="146"/>
      <c r="E28" s="147"/>
      <c r="F28" s="148"/>
      <c r="G28" s="144"/>
      <c r="H28" s="147"/>
      <c r="I28" s="147"/>
      <c r="J28" s="146"/>
      <c r="K28" s="180"/>
    </row>
    <row r="29" spans="1:11" ht="12.75">
      <c r="A29" s="207">
        <v>12</v>
      </c>
      <c r="B29" s="145"/>
      <c r="C29" s="167"/>
      <c r="D29" s="146"/>
      <c r="E29" s="147"/>
      <c r="F29" s="148"/>
      <c r="G29" s="144"/>
      <c r="H29" s="147"/>
      <c r="I29" s="147"/>
      <c r="J29" s="146"/>
      <c r="K29" s="180"/>
    </row>
    <row r="30" spans="1:11" ht="12.75">
      <c r="A30" s="28">
        <v>13</v>
      </c>
      <c r="B30" s="145"/>
      <c r="C30" s="167"/>
      <c r="D30" s="146"/>
      <c r="E30" s="147"/>
      <c r="F30" s="148"/>
      <c r="G30" s="144"/>
      <c r="H30" s="147"/>
      <c r="I30" s="147"/>
      <c r="J30" s="146"/>
      <c r="K30" s="180"/>
    </row>
    <row r="31" spans="1:11" ht="12.75">
      <c r="A31" s="207">
        <v>14</v>
      </c>
      <c r="B31" s="145"/>
      <c r="C31" s="167"/>
      <c r="D31" s="146"/>
      <c r="E31" s="147"/>
      <c r="F31" s="148"/>
      <c r="G31" s="144"/>
      <c r="H31" s="147"/>
      <c r="I31" s="147"/>
      <c r="J31" s="146"/>
      <c r="K31" s="180"/>
    </row>
    <row r="32" spans="1:11" ht="12.75">
      <c r="A32" s="28">
        <v>15</v>
      </c>
      <c r="B32" s="145"/>
      <c r="C32" s="167"/>
      <c r="D32" s="146"/>
      <c r="E32" s="147"/>
      <c r="F32" s="148"/>
      <c r="G32" s="144"/>
      <c r="H32" s="147"/>
      <c r="I32" s="147"/>
      <c r="J32" s="146"/>
      <c r="K32" s="180"/>
    </row>
    <row r="33" spans="1:11" ht="12.75">
      <c r="A33" s="28">
        <v>16</v>
      </c>
      <c r="B33" s="168"/>
      <c r="C33" s="143"/>
      <c r="D33" s="151"/>
      <c r="E33" s="92"/>
      <c r="F33" s="152"/>
      <c r="G33" s="160"/>
      <c r="H33" s="92"/>
      <c r="I33" s="92"/>
      <c r="J33" s="151"/>
      <c r="K33" s="180"/>
    </row>
    <row r="34" spans="1:11" ht="13.5" thickBot="1">
      <c r="A34" s="101">
        <v>17</v>
      </c>
      <c r="B34" s="184"/>
      <c r="C34" s="185"/>
      <c r="D34" s="186"/>
      <c r="E34" s="187"/>
      <c r="F34" s="188"/>
      <c r="G34" s="189"/>
      <c r="H34" s="187"/>
      <c r="I34" s="187"/>
      <c r="J34" s="186"/>
      <c r="K34" s="190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105000</v>
      </c>
      <c r="G36" s="44">
        <f>SUM(G18:G34)</f>
        <v>204573.37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f>F19</f>
        <v>5000</v>
      </c>
      <c r="G37" s="42">
        <f>G23</f>
        <v>10.2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100000</v>
      </c>
      <c r="G38" s="42">
        <f>G36-G37</f>
        <v>204563.16999999998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-18871.59999999999</v>
      </c>
      <c r="G39" s="46">
        <f>G16-G36</f>
        <v>-100195.01000000001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96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G6:G7"/>
    <mergeCell ref="A36:E36"/>
    <mergeCell ref="K6:K7"/>
    <mergeCell ref="F6:F7"/>
    <mergeCell ref="J6:J7"/>
    <mergeCell ref="H6:H7"/>
    <mergeCell ref="H16:J16"/>
    <mergeCell ref="E6:E7"/>
    <mergeCell ref="A11:E11"/>
    <mergeCell ref="H11:J11"/>
    <mergeCell ref="A14:E14"/>
    <mergeCell ref="H12:J12"/>
    <mergeCell ref="A13:E13"/>
    <mergeCell ref="H13:J13"/>
    <mergeCell ref="H15:J15"/>
    <mergeCell ref="A15:E15"/>
    <mergeCell ref="A9:K9"/>
    <mergeCell ref="H14:J14"/>
    <mergeCell ref="H39:J39"/>
    <mergeCell ref="B37:E37"/>
    <mergeCell ref="H37:J37"/>
    <mergeCell ref="B38:E38"/>
    <mergeCell ref="I6:I7"/>
    <mergeCell ref="A12:E12"/>
    <mergeCell ref="H38:J38"/>
    <mergeCell ref="A39:E39"/>
    <mergeCell ref="A16:E16"/>
    <mergeCell ref="H36:J36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3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53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17</v>
      </c>
      <c r="D10" s="17">
        <v>5630.5</v>
      </c>
      <c r="E10" s="18" t="s">
        <v>6</v>
      </c>
      <c r="F10" s="19"/>
      <c r="G10" s="127"/>
      <c r="H10" s="11" t="s">
        <v>8</v>
      </c>
      <c r="I10" s="12">
        <v>1.4</v>
      </c>
      <c r="J10" s="13" t="s">
        <v>7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0</v>
      </c>
      <c r="G11" s="44">
        <v>37867.02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D10*I10*12</f>
        <v>94592.4</v>
      </c>
      <c r="G12" s="41">
        <v>94592.4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>
        <v>0</v>
      </c>
      <c r="H13" s="274"/>
      <c r="I13" s="275"/>
      <c r="J13" s="275"/>
      <c r="K13" s="53"/>
    </row>
    <row r="14" spans="1:11" s="40" customFormat="1" ht="12.75" customHeight="1">
      <c r="A14" s="276" t="s">
        <v>39</v>
      </c>
      <c r="B14" s="277"/>
      <c r="C14" s="277"/>
      <c r="D14" s="277"/>
      <c r="E14" s="277"/>
      <c r="F14" s="41">
        <v>0</v>
      </c>
      <c r="G14" s="41">
        <v>0</v>
      </c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>
        <v>15693.33</v>
      </c>
      <c r="H15" s="274" t="s">
        <v>264</v>
      </c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94592.4</v>
      </c>
      <c r="G16" s="45">
        <f>G11+G12+G13+G14+G15</f>
        <v>148152.74999999997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93">
        <v>1</v>
      </c>
      <c r="B18" s="85" t="s">
        <v>19</v>
      </c>
      <c r="C18" s="85" t="s">
        <v>20</v>
      </c>
      <c r="D18" s="87"/>
      <c r="E18" s="87"/>
      <c r="F18" s="88">
        <v>20000</v>
      </c>
      <c r="G18" s="70"/>
      <c r="H18" s="87">
        <v>2015</v>
      </c>
      <c r="I18" s="87"/>
      <c r="J18" s="87" t="s">
        <v>4</v>
      </c>
      <c r="K18" s="90"/>
    </row>
    <row r="19" spans="1:11" ht="12.75">
      <c r="A19" s="23">
        <v>2</v>
      </c>
      <c r="B19" s="150" t="s">
        <v>230</v>
      </c>
      <c r="C19" s="150" t="s">
        <v>157</v>
      </c>
      <c r="D19" s="147"/>
      <c r="E19" s="147"/>
      <c r="F19" s="144"/>
      <c r="G19" s="235">
        <v>4825.44</v>
      </c>
      <c r="H19" s="147" t="s">
        <v>276</v>
      </c>
      <c r="I19" s="92"/>
      <c r="J19" s="92" t="s">
        <v>3</v>
      </c>
      <c r="K19" s="180"/>
    </row>
    <row r="20" spans="1:11" s="119" customFormat="1" ht="12.75">
      <c r="A20" s="116">
        <v>3</v>
      </c>
      <c r="B20" s="143" t="s">
        <v>230</v>
      </c>
      <c r="C20" s="170" t="s">
        <v>177</v>
      </c>
      <c r="D20" s="147"/>
      <c r="E20" s="147"/>
      <c r="F20" s="144"/>
      <c r="G20" s="235">
        <f>1043.28+4059+350+295.2</f>
        <v>5747.48</v>
      </c>
      <c r="H20" s="147">
        <v>2015</v>
      </c>
      <c r="I20" s="191"/>
      <c r="J20" s="92" t="s">
        <v>3</v>
      </c>
      <c r="K20" s="192"/>
    </row>
    <row r="21" spans="1:11" ht="12.75">
      <c r="A21" s="29">
        <v>4</v>
      </c>
      <c r="B21" s="170"/>
      <c r="C21" s="170"/>
      <c r="D21" s="147"/>
      <c r="E21" s="147"/>
      <c r="F21" s="144"/>
      <c r="G21" s="235"/>
      <c r="H21" s="147"/>
      <c r="I21" s="173"/>
      <c r="J21" s="193"/>
      <c r="K21" s="179"/>
    </row>
    <row r="22" spans="1:11" ht="12.75">
      <c r="A22" s="29">
        <v>5</v>
      </c>
      <c r="B22" s="170"/>
      <c r="C22" s="170"/>
      <c r="D22" s="147"/>
      <c r="E22" s="147"/>
      <c r="F22" s="144"/>
      <c r="G22" s="148"/>
      <c r="H22" s="147"/>
      <c r="I22" s="173"/>
      <c r="J22" s="193"/>
      <c r="K22" s="179"/>
    </row>
    <row r="23" spans="1:11" ht="12.75">
      <c r="A23" s="29">
        <v>6</v>
      </c>
      <c r="B23" s="170"/>
      <c r="C23" s="170"/>
      <c r="D23" s="147"/>
      <c r="E23" s="147"/>
      <c r="F23" s="144"/>
      <c r="G23" s="148"/>
      <c r="H23" s="147"/>
      <c r="I23" s="147"/>
      <c r="J23" s="146"/>
      <c r="K23" s="179"/>
    </row>
    <row r="24" spans="1:11" ht="12.75">
      <c r="A24" s="28">
        <v>7</v>
      </c>
      <c r="B24" s="168"/>
      <c r="C24" s="143"/>
      <c r="D24" s="151"/>
      <c r="E24" s="92"/>
      <c r="F24" s="152"/>
      <c r="G24" s="152"/>
      <c r="H24" s="92"/>
      <c r="I24" s="92"/>
      <c r="J24" s="151"/>
      <c r="K24" s="180"/>
    </row>
    <row r="25" spans="1:11" ht="12.75">
      <c r="A25" s="28">
        <v>8</v>
      </c>
      <c r="B25" s="145"/>
      <c r="C25" s="167"/>
      <c r="D25" s="146"/>
      <c r="E25" s="147"/>
      <c r="F25" s="148"/>
      <c r="G25" s="148"/>
      <c r="H25" s="147"/>
      <c r="I25" s="147"/>
      <c r="J25" s="151"/>
      <c r="K25" s="180"/>
    </row>
    <row r="26" spans="1:11" ht="12.75">
      <c r="A26" s="120">
        <v>9</v>
      </c>
      <c r="B26" s="145"/>
      <c r="C26" s="167"/>
      <c r="D26" s="146"/>
      <c r="E26" s="147"/>
      <c r="F26" s="148"/>
      <c r="G26" s="148"/>
      <c r="H26" s="147"/>
      <c r="I26" s="147"/>
      <c r="J26" s="146"/>
      <c r="K26" s="180"/>
    </row>
    <row r="27" spans="1:11" ht="12.75">
      <c r="A27" s="28">
        <v>10</v>
      </c>
      <c r="B27" s="145"/>
      <c r="C27" s="167"/>
      <c r="D27" s="146"/>
      <c r="E27" s="147"/>
      <c r="F27" s="148"/>
      <c r="G27" s="148"/>
      <c r="H27" s="147"/>
      <c r="I27" s="147"/>
      <c r="J27" s="146"/>
      <c r="K27" s="180"/>
    </row>
    <row r="28" spans="1:11" ht="12.75">
      <c r="A28" s="28">
        <v>11</v>
      </c>
      <c r="B28" s="145"/>
      <c r="C28" s="167"/>
      <c r="D28" s="146"/>
      <c r="E28" s="147"/>
      <c r="F28" s="148"/>
      <c r="G28" s="148"/>
      <c r="H28" s="147"/>
      <c r="I28" s="147"/>
      <c r="J28" s="146"/>
      <c r="K28" s="180"/>
    </row>
    <row r="29" spans="1:11" ht="12.75">
      <c r="A29" s="207">
        <v>12</v>
      </c>
      <c r="B29" s="145"/>
      <c r="C29" s="167"/>
      <c r="D29" s="146"/>
      <c r="E29" s="147"/>
      <c r="F29" s="148"/>
      <c r="G29" s="148"/>
      <c r="H29" s="147"/>
      <c r="I29" s="147"/>
      <c r="J29" s="146"/>
      <c r="K29" s="180"/>
    </row>
    <row r="30" spans="1:11" ht="12.75">
      <c r="A30" s="28">
        <v>13</v>
      </c>
      <c r="B30" s="145"/>
      <c r="C30" s="167"/>
      <c r="D30" s="146"/>
      <c r="E30" s="147"/>
      <c r="F30" s="148"/>
      <c r="G30" s="148"/>
      <c r="H30" s="147"/>
      <c r="I30" s="147"/>
      <c r="J30" s="146"/>
      <c r="K30" s="180"/>
    </row>
    <row r="31" spans="1:11" ht="12.75">
      <c r="A31" s="207">
        <v>14</v>
      </c>
      <c r="B31" s="145"/>
      <c r="C31" s="167"/>
      <c r="D31" s="146"/>
      <c r="E31" s="147"/>
      <c r="F31" s="148"/>
      <c r="G31" s="148"/>
      <c r="H31" s="147"/>
      <c r="I31" s="147"/>
      <c r="J31" s="146"/>
      <c r="K31" s="180"/>
    </row>
    <row r="32" spans="1:11" ht="12.75">
      <c r="A32" s="28">
        <v>15</v>
      </c>
      <c r="B32" s="145"/>
      <c r="C32" s="167"/>
      <c r="D32" s="146"/>
      <c r="E32" s="147"/>
      <c r="F32" s="148"/>
      <c r="G32" s="148"/>
      <c r="H32" s="147"/>
      <c r="I32" s="147"/>
      <c r="J32" s="146"/>
      <c r="K32" s="180"/>
    </row>
    <row r="33" spans="1:11" ht="12.75">
      <c r="A33" s="28">
        <v>16</v>
      </c>
      <c r="B33" s="168"/>
      <c r="C33" s="143"/>
      <c r="D33" s="151"/>
      <c r="E33" s="92"/>
      <c r="F33" s="152"/>
      <c r="G33" s="152"/>
      <c r="H33" s="92"/>
      <c r="I33" s="92"/>
      <c r="J33" s="151"/>
      <c r="K33" s="180"/>
    </row>
    <row r="34" spans="1:11" ht="13.5" thickBot="1">
      <c r="A34" s="101">
        <v>17</v>
      </c>
      <c r="B34" s="184"/>
      <c r="C34" s="185"/>
      <c r="D34" s="186"/>
      <c r="E34" s="187"/>
      <c r="F34" s="188"/>
      <c r="G34" s="188"/>
      <c r="H34" s="187"/>
      <c r="I34" s="187"/>
      <c r="J34" s="186"/>
      <c r="K34" s="190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20000</v>
      </c>
      <c r="G36" s="44">
        <f>SUM(G18:G34)</f>
        <v>10572.919999999998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f>F18</f>
        <v>20000</v>
      </c>
      <c r="G37" s="42">
        <f>G22</f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0</v>
      </c>
      <c r="G38" s="42">
        <f>G36-G37</f>
        <v>10572.919999999998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74592.4</v>
      </c>
      <c r="G39" s="46">
        <f>G16-G36</f>
        <v>137579.82999999996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97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G6:G7"/>
    <mergeCell ref="A36:E36"/>
    <mergeCell ref="K6:K7"/>
    <mergeCell ref="F6:F7"/>
    <mergeCell ref="J6:J7"/>
    <mergeCell ref="H6:H7"/>
    <mergeCell ref="H16:J16"/>
    <mergeCell ref="E6:E7"/>
    <mergeCell ref="A11:E11"/>
    <mergeCell ref="H11:J11"/>
    <mergeCell ref="A14:E14"/>
    <mergeCell ref="H12:J12"/>
    <mergeCell ref="A13:E13"/>
    <mergeCell ref="H13:J13"/>
    <mergeCell ref="H15:J15"/>
    <mergeCell ref="A15:E15"/>
    <mergeCell ref="A9:K9"/>
    <mergeCell ref="H14:J14"/>
    <mergeCell ref="H39:J39"/>
    <mergeCell ref="B37:E37"/>
    <mergeCell ref="H37:J37"/>
    <mergeCell ref="B38:E38"/>
    <mergeCell ref="I6:I7"/>
    <mergeCell ref="A12:E12"/>
    <mergeCell ref="H38:J38"/>
    <mergeCell ref="A39:E39"/>
    <mergeCell ref="A16:E16"/>
    <mergeCell ref="H36:J36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1">
      <selection activeCell="G38" sqref="G38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78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41</v>
      </c>
      <c r="D10" s="17">
        <v>751.9</v>
      </c>
      <c r="E10" s="18" t="s">
        <v>6</v>
      </c>
      <c r="F10" s="19"/>
      <c r="G10" s="127"/>
      <c r="H10" s="11" t="s">
        <v>8</v>
      </c>
      <c r="I10" s="12">
        <v>0.5</v>
      </c>
      <c r="J10" s="13" t="s">
        <v>7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26000</v>
      </c>
      <c r="G11" s="44">
        <v>28448.06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D10*I10*12</f>
        <v>4511.4</v>
      </c>
      <c r="G12" s="41">
        <f>1137.6+853.2+675+758.4+1088.4</f>
        <v>4512.6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/>
      <c r="H13" s="274"/>
      <c r="I13" s="275"/>
      <c r="J13" s="275"/>
      <c r="K13" s="53"/>
    </row>
    <row r="14" spans="1:11" s="40" customFormat="1" ht="12.75" customHeight="1">
      <c r="A14" s="276" t="s">
        <v>39</v>
      </c>
      <c r="B14" s="277"/>
      <c r="C14" s="277"/>
      <c r="D14" s="277"/>
      <c r="E14" s="277"/>
      <c r="F14" s="41">
        <v>0</v>
      </c>
      <c r="G14" s="41"/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/>
      <c r="H15" s="274"/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30511.4</v>
      </c>
      <c r="G16" s="45">
        <f>G11+G12+G13+G14+G15</f>
        <v>32960.66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96" t="s">
        <v>167</v>
      </c>
      <c r="C18" s="94" t="s">
        <v>129</v>
      </c>
      <c r="D18" s="86"/>
      <c r="E18" s="87"/>
      <c r="F18" s="70">
        <v>25000</v>
      </c>
      <c r="G18" s="229">
        <f>6400+6400</f>
        <v>12800</v>
      </c>
      <c r="H18" s="89" t="s">
        <v>276</v>
      </c>
      <c r="I18" s="89"/>
      <c r="J18" s="175" t="s">
        <v>3</v>
      </c>
      <c r="K18" s="90"/>
    </row>
    <row r="19" spans="1:11" ht="12.75">
      <c r="A19" s="28">
        <v>2</v>
      </c>
      <c r="B19" s="27"/>
      <c r="C19" s="30" t="s">
        <v>20</v>
      </c>
      <c r="D19" s="25"/>
      <c r="E19" s="2"/>
      <c r="F19" s="26">
        <v>5000</v>
      </c>
      <c r="G19" s="3"/>
      <c r="H19" s="2">
        <v>2015</v>
      </c>
      <c r="I19" s="2"/>
      <c r="J19" s="25" t="s">
        <v>4</v>
      </c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120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07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07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30000</v>
      </c>
      <c r="G36" s="44">
        <f>SUM(G18:G34)</f>
        <v>12800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f>F19</f>
        <v>5000</v>
      </c>
      <c r="G37" s="42"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25000</v>
      </c>
      <c r="G38" s="42">
        <f>G36-G37</f>
        <v>12800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511.40000000000146</v>
      </c>
      <c r="G39" s="46">
        <f>G16-G36</f>
        <v>20160.660000000003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98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B37:E37"/>
    <mergeCell ref="A16:E16"/>
    <mergeCell ref="H16:J16"/>
    <mergeCell ref="A36:E36"/>
    <mergeCell ref="H36:J36"/>
    <mergeCell ref="A39:E39"/>
    <mergeCell ref="H39:J39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50" zoomScaleNormal="150" zoomScalePageLayoutView="0" workbookViewId="0" topLeftCell="A15">
      <selection activeCell="G42" sqref="G4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81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41</v>
      </c>
      <c r="D10" s="17">
        <v>225</v>
      </c>
      <c r="E10" s="18" t="s">
        <v>6</v>
      </c>
      <c r="F10" s="19"/>
      <c r="G10" s="127"/>
      <c r="H10" s="11" t="s">
        <v>8</v>
      </c>
      <c r="I10" s="12">
        <v>0.5</v>
      </c>
      <c r="J10" s="13" t="s">
        <v>7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8000</v>
      </c>
      <c r="G11" s="44">
        <v>9589.5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D10*I10*12</f>
        <v>1350</v>
      </c>
      <c r="G12" s="41">
        <f>771+579.6</f>
        <v>1350.6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>
        <v>0</v>
      </c>
      <c r="H13" s="274"/>
      <c r="I13" s="275"/>
      <c r="J13" s="275"/>
      <c r="K13" s="53"/>
    </row>
    <row r="14" spans="1:11" s="40" customFormat="1" ht="12.75" customHeight="1">
      <c r="A14" s="276" t="s">
        <v>39</v>
      </c>
      <c r="B14" s="277"/>
      <c r="C14" s="277"/>
      <c r="D14" s="277"/>
      <c r="E14" s="277"/>
      <c r="F14" s="41">
        <v>0</v>
      </c>
      <c r="G14" s="42">
        <v>0</v>
      </c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>
        <v>0</v>
      </c>
      <c r="H15" s="274"/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9350</v>
      </c>
      <c r="G16" s="45">
        <f>G11+G12+G13+G14+G15</f>
        <v>10940.1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96" t="s">
        <v>23</v>
      </c>
      <c r="C18" s="94" t="s">
        <v>20</v>
      </c>
      <c r="D18" s="86"/>
      <c r="E18" s="87"/>
      <c r="F18" s="98">
        <v>5000</v>
      </c>
      <c r="G18" s="88"/>
      <c r="H18" s="89">
        <v>2015</v>
      </c>
      <c r="I18" s="87"/>
      <c r="J18" s="86" t="s">
        <v>4</v>
      </c>
      <c r="K18" s="90"/>
    </row>
    <row r="19" spans="1:11" ht="12.75">
      <c r="A19" s="28">
        <v>2</v>
      </c>
      <c r="B19" s="27"/>
      <c r="C19" s="30"/>
      <c r="D19" s="25"/>
      <c r="E19" s="2"/>
      <c r="F19" s="26"/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120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07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07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5000</v>
      </c>
      <c r="G36" s="44">
        <f>SUM(G18:G34)</f>
        <v>0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f>F18</f>
        <v>5000</v>
      </c>
      <c r="G37" s="42">
        <f>G18</f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0</v>
      </c>
      <c r="G38" s="42">
        <f>G36-G37</f>
        <v>0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4350</v>
      </c>
      <c r="G39" s="46">
        <f>G16-G36</f>
        <v>10940.1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99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B37:E37"/>
    <mergeCell ref="A16:E16"/>
    <mergeCell ref="H16:J16"/>
    <mergeCell ref="A36:E36"/>
    <mergeCell ref="H36:J36"/>
    <mergeCell ref="A39:E39"/>
    <mergeCell ref="H39:J39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5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79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41</v>
      </c>
      <c r="D10" s="17">
        <v>196.1</v>
      </c>
      <c r="E10" s="18" t="s">
        <v>6</v>
      </c>
      <c r="F10" s="19"/>
      <c r="G10" s="127"/>
      <c r="H10" s="11" t="s">
        <v>8</v>
      </c>
      <c r="I10" s="12">
        <v>0.5</v>
      </c>
      <c r="J10" s="13" t="s">
        <v>7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10000</v>
      </c>
      <c r="G11" s="44">
        <v>8559.14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D10*I10*12</f>
        <v>1176.6</v>
      </c>
      <c r="G12" s="41">
        <v>1182.6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/>
      <c r="H13" s="274"/>
      <c r="I13" s="275"/>
      <c r="J13" s="275"/>
      <c r="K13" s="53"/>
    </row>
    <row r="14" spans="1:11" s="40" customFormat="1" ht="12.75" customHeight="1">
      <c r="A14" s="276" t="s">
        <v>39</v>
      </c>
      <c r="B14" s="277"/>
      <c r="C14" s="277"/>
      <c r="D14" s="277"/>
      <c r="E14" s="277"/>
      <c r="F14" s="41">
        <v>0</v>
      </c>
      <c r="G14" s="41"/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/>
      <c r="H15" s="274"/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11176.6</v>
      </c>
      <c r="G16" s="45">
        <f>G11+G12+G13+G14+G15</f>
        <v>9741.74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96" t="s">
        <v>24</v>
      </c>
      <c r="C18" s="94" t="s">
        <v>20</v>
      </c>
      <c r="D18" s="86"/>
      <c r="E18" s="87"/>
      <c r="F18" s="98">
        <v>5000</v>
      </c>
      <c r="G18" s="88"/>
      <c r="H18" s="89">
        <v>2015</v>
      </c>
      <c r="I18" s="87"/>
      <c r="J18" s="86" t="s">
        <v>4</v>
      </c>
      <c r="K18" s="90"/>
    </row>
    <row r="19" spans="1:11" ht="12.75">
      <c r="A19" s="28">
        <v>2</v>
      </c>
      <c r="B19" s="27"/>
      <c r="C19" s="30"/>
      <c r="D19" s="25"/>
      <c r="E19" s="2"/>
      <c r="F19" s="26"/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120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07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07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5000</v>
      </c>
      <c r="G36" s="44">
        <f>SUM(G18:G34)</f>
        <v>0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f>F18</f>
        <v>5000</v>
      </c>
      <c r="G37" s="42">
        <f>G18</f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0</v>
      </c>
      <c r="G38" s="42">
        <f>G36-G37</f>
        <v>0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6176.6</v>
      </c>
      <c r="G39" s="46">
        <f>G16-G36</f>
        <v>9741.74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100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B37:E37"/>
    <mergeCell ref="A16:E16"/>
    <mergeCell ref="H16:J16"/>
    <mergeCell ref="A36:E36"/>
    <mergeCell ref="H36:J36"/>
    <mergeCell ref="A39:E39"/>
    <mergeCell ref="H39:J39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6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80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41</v>
      </c>
      <c r="D10" s="17"/>
      <c r="E10" s="18" t="s">
        <v>6</v>
      </c>
      <c r="F10" s="19"/>
      <c r="G10" s="127"/>
      <c r="H10" s="11" t="s">
        <v>8</v>
      </c>
      <c r="I10" s="12"/>
      <c r="J10" s="13" t="s">
        <v>7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20000</v>
      </c>
      <c r="G11" s="44">
        <v>17640.51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v>6649</v>
      </c>
      <c r="G12" s="41">
        <f>2880+2580.6+1138.92+2075.04</f>
        <v>8674.560000000001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/>
      <c r="H13" s="274"/>
      <c r="I13" s="275"/>
      <c r="J13" s="275"/>
      <c r="K13" s="53"/>
    </row>
    <row r="14" spans="1:11" s="40" customFormat="1" ht="12.75" customHeight="1">
      <c r="A14" s="276" t="s">
        <v>39</v>
      </c>
      <c r="B14" s="277"/>
      <c r="C14" s="277"/>
      <c r="D14" s="277"/>
      <c r="E14" s="277"/>
      <c r="F14" s="41">
        <v>0</v>
      </c>
      <c r="G14" s="42"/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/>
      <c r="H15" s="274"/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26649</v>
      </c>
      <c r="G16" s="45">
        <f>G11+G12+G13+G14+G15</f>
        <v>26315.07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138" t="s">
        <v>40</v>
      </c>
      <c r="C18" s="96" t="s">
        <v>20</v>
      </c>
      <c r="D18" s="86"/>
      <c r="E18" s="87"/>
      <c r="F18" s="98">
        <v>10000</v>
      </c>
      <c r="G18" s="88"/>
      <c r="H18" s="89">
        <v>2015</v>
      </c>
      <c r="I18" s="87"/>
      <c r="J18" s="86" t="s">
        <v>4</v>
      </c>
      <c r="K18" s="100"/>
    </row>
    <row r="19" spans="1:11" ht="12.75">
      <c r="A19" s="28">
        <v>2</v>
      </c>
      <c r="B19" s="168" t="s">
        <v>60</v>
      </c>
      <c r="C19" s="170" t="s">
        <v>184</v>
      </c>
      <c r="D19" s="151"/>
      <c r="E19" s="92"/>
      <c r="F19" s="172"/>
      <c r="G19" s="236">
        <f>2375+2375+2375+2375+9500</f>
        <v>19000</v>
      </c>
      <c r="H19" s="147" t="s">
        <v>277</v>
      </c>
      <c r="I19" s="2"/>
      <c r="J19" s="25"/>
      <c r="K19" s="24"/>
    </row>
    <row r="20" spans="1:11" ht="12.75">
      <c r="A20" s="29">
        <v>3</v>
      </c>
      <c r="B20" s="170" t="s">
        <v>60</v>
      </c>
      <c r="C20" s="170" t="s">
        <v>185</v>
      </c>
      <c r="D20" s="147"/>
      <c r="E20" s="147"/>
      <c r="F20" s="172"/>
      <c r="G20" s="233">
        <f>1715+1715</f>
        <v>3430</v>
      </c>
      <c r="H20" s="147" t="s">
        <v>276</v>
      </c>
      <c r="I20" s="4"/>
      <c r="J20" s="25"/>
      <c r="K20" s="33"/>
    </row>
    <row r="21" spans="1:11" ht="12.75">
      <c r="A21" s="29">
        <v>4</v>
      </c>
      <c r="B21" s="170" t="s">
        <v>60</v>
      </c>
      <c r="C21" s="170" t="s">
        <v>186</v>
      </c>
      <c r="D21" s="147"/>
      <c r="E21" s="147"/>
      <c r="F21" s="144"/>
      <c r="G21" s="233">
        <v>5500</v>
      </c>
      <c r="H21" s="147">
        <v>2015</v>
      </c>
      <c r="I21" s="4"/>
      <c r="J21" s="4"/>
      <c r="K21" s="32"/>
    </row>
    <row r="22" spans="1:11" ht="12.75">
      <c r="A22" s="29">
        <v>5</v>
      </c>
      <c r="B22" s="170"/>
      <c r="C22" s="170"/>
      <c r="D22" s="147"/>
      <c r="E22" s="147"/>
      <c r="F22" s="144"/>
      <c r="G22" s="203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/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/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/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/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/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/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10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11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10000</v>
      </c>
      <c r="G36" s="44">
        <f>SUM(G18:G34)</f>
        <v>27930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f>F18</f>
        <v>10000</v>
      </c>
      <c r="G37" s="42">
        <f>G18</f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0</v>
      </c>
      <c r="G38" s="42">
        <f>G36-G37</f>
        <v>27930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16649</v>
      </c>
      <c r="G39" s="46">
        <f>G16-G36</f>
        <v>-1614.9300000000003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101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6">
      <selection activeCell="G38" sqref="G38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54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26</v>
      </c>
      <c r="D10" s="17">
        <f>161+163</f>
        <v>324</v>
      </c>
      <c r="E10" s="18" t="s">
        <v>28</v>
      </c>
      <c r="F10" s="19"/>
      <c r="G10" s="127"/>
      <c r="H10" s="11" t="s">
        <v>8</v>
      </c>
      <c r="I10" s="123">
        <f>F12/D10/12</f>
        <v>7.775720164609054</v>
      </c>
      <c r="J10" s="13" t="s">
        <v>29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90000</v>
      </c>
      <c r="G11" s="44">
        <v>122285.64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30232</f>
        <v>30232</v>
      </c>
      <c r="G12" s="41">
        <f>21511+21602</f>
        <v>43113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v>0</v>
      </c>
      <c r="G13" s="41"/>
      <c r="H13" s="274"/>
      <c r="I13" s="275"/>
      <c r="J13" s="275"/>
      <c r="K13" s="53"/>
    </row>
    <row r="14" spans="1:11" s="40" customFormat="1" ht="12.75" customHeight="1">
      <c r="A14" s="276" t="s">
        <v>77</v>
      </c>
      <c r="B14" s="277"/>
      <c r="C14" s="277"/>
      <c r="D14" s="277"/>
      <c r="E14" s="277"/>
      <c r="F14" s="41">
        <v>12816</v>
      </c>
      <c r="G14" s="42"/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/>
      <c r="H15" s="274"/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133048</v>
      </c>
      <c r="G16" s="45">
        <f>G11+G12+G13+G14+G15</f>
        <v>165398.64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42</v>
      </c>
      <c r="C18" s="96" t="s">
        <v>20</v>
      </c>
      <c r="D18" s="86"/>
      <c r="E18" s="87"/>
      <c r="F18" s="98">
        <v>10000</v>
      </c>
      <c r="G18" s="88"/>
      <c r="H18" s="89">
        <v>2015</v>
      </c>
      <c r="I18" s="87"/>
      <c r="J18" s="99" t="s">
        <v>3</v>
      </c>
      <c r="K18" s="100"/>
    </row>
    <row r="19" spans="1:11" ht="14.25" customHeight="1">
      <c r="A19" s="28">
        <v>2</v>
      </c>
      <c r="B19" s="27" t="s">
        <v>30</v>
      </c>
      <c r="C19" s="27" t="s">
        <v>20</v>
      </c>
      <c r="D19" s="25"/>
      <c r="E19" s="2"/>
      <c r="F19" s="26">
        <v>10000</v>
      </c>
      <c r="G19" s="3"/>
      <c r="H19" s="4">
        <v>2015</v>
      </c>
      <c r="I19" s="2"/>
      <c r="J19" s="25" t="s">
        <v>3</v>
      </c>
      <c r="K19" s="24"/>
    </row>
    <row r="20" spans="1:11" ht="12.75">
      <c r="A20" s="29">
        <v>3</v>
      </c>
      <c r="B20" s="170" t="s">
        <v>158</v>
      </c>
      <c r="C20" s="170" t="s">
        <v>166</v>
      </c>
      <c r="D20" s="147"/>
      <c r="E20" s="147"/>
      <c r="F20" s="172"/>
      <c r="G20" s="233">
        <v>2916</v>
      </c>
      <c r="H20" s="147" t="s">
        <v>277</v>
      </c>
      <c r="I20" s="147"/>
      <c r="J20" s="151" t="s">
        <v>3</v>
      </c>
      <c r="K20" s="178"/>
    </row>
    <row r="21" spans="1:11" ht="12.75">
      <c r="A21" s="29">
        <v>4</v>
      </c>
      <c r="B21" s="170" t="s">
        <v>210</v>
      </c>
      <c r="C21" s="170" t="s">
        <v>209</v>
      </c>
      <c r="D21" s="147"/>
      <c r="E21" s="147"/>
      <c r="F21" s="144"/>
      <c r="G21" s="233">
        <f>189.42+189.42</f>
        <v>378.84</v>
      </c>
      <c r="H21" s="147">
        <v>2015</v>
      </c>
      <c r="I21" s="147"/>
      <c r="J21" s="147" t="s">
        <v>3</v>
      </c>
      <c r="K21" s="32"/>
    </row>
    <row r="22" spans="1:11" ht="12.75">
      <c r="A22" s="29">
        <v>5</v>
      </c>
      <c r="B22" s="170"/>
      <c r="C22" s="170"/>
      <c r="D22" s="147"/>
      <c r="E22" s="147"/>
      <c r="F22" s="144"/>
      <c r="G22" s="144"/>
      <c r="H22" s="147"/>
      <c r="I22" s="147"/>
      <c r="J22" s="147"/>
      <c r="K22" s="32"/>
    </row>
    <row r="23" spans="1:11" ht="12.75">
      <c r="A23" s="29">
        <v>6</v>
      </c>
      <c r="B23" s="170"/>
      <c r="C23" s="170"/>
      <c r="D23" s="147"/>
      <c r="E23" s="147"/>
      <c r="F23" s="144"/>
      <c r="G23" s="144"/>
      <c r="H23" s="147"/>
      <c r="I23" s="147"/>
      <c r="J23" s="146"/>
      <c r="K23" s="32"/>
    </row>
    <row r="24" spans="1:11" ht="12.75">
      <c r="A24" s="28">
        <v>7</v>
      </c>
      <c r="B24" s="168"/>
      <c r="C24" s="143"/>
      <c r="D24" s="151"/>
      <c r="E24" s="92"/>
      <c r="F24" s="152"/>
      <c r="G24" s="160"/>
      <c r="H24" s="92"/>
      <c r="I24" s="92"/>
      <c r="J24" s="151"/>
      <c r="K24" s="24"/>
    </row>
    <row r="25" spans="1:11" ht="12.75">
      <c r="A25" s="28">
        <v>8</v>
      </c>
      <c r="B25" s="145"/>
      <c r="C25" s="167"/>
      <c r="D25" s="146"/>
      <c r="E25" s="147"/>
      <c r="F25" s="148"/>
      <c r="G25" s="144"/>
      <c r="H25" s="147"/>
      <c r="I25" s="147"/>
      <c r="J25" s="151"/>
      <c r="K25" s="24"/>
    </row>
    <row r="26" spans="1:11" ht="12.75">
      <c r="A26" s="120">
        <v>9</v>
      </c>
      <c r="B26" s="145"/>
      <c r="C26" s="167"/>
      <c r="D26" s="146"/>
      <c r="E26" s="147"/>
      <c r="F26" s="148"/>
      <c r="G26" s="144"/>
      <c r="H26" s="147"/>
      <c r="I26" s="147"/>
      <c r="J26" s="146"/>
      <c r="K26" s="24"/>
    </row>
    <row r="27" spans="1:11" ht="12.75">
      <c r="A27" s="28">
        <v>10</v>
      </c>
      <c r="B27" s="145"/>
      <c r="C27" s="167"/>
      <c r="D27" s="146"/>
      <c r="E27" s="147"/>
      <c r="F27" s="148"/>
      <c r="G27" s="144"/>
      <c r="H27" s="147"/>
      <c r="I27" s="147"/>
      <c r="J27" s="146"/>
      <c r="K27" s="24"/>
    </row>
    <row r="28" spans="1:11" ht="12.75">
      <c r="A28" s="28">
        <v>11</v>
      </c>
      <c r="B28" s="145"/>
      <c r="C28" s="167"/>
      <c r="D28" s="146"/>
      <c r="E28" s="147"/>
      <c r="F28" s="148"/>
      <c r="G28" s="144"/>
      <c r="H28" s="147"/>
      <c r="I28" s="147"/>
      <c r="J28" s="146"/>
      <c r="K28" s="24"/>
    </row>
    <row r="29" spans="1:11" ht="12.75">
      <c r="A29" s="207">
        <v>12</v>
      </c>
      <c r="B29" s="145"/>
      <c r="C29" s="167"/>
      <c r="D29" s="146"/>
      <c r="E29" s="147"/>
      <c r="F29" s="148"/>
      <c r="G29" s="144"/>
      <c r="H29" s="147"/>
      <c r="I29" s="147"/>
      <c r="J29" s="146"/>
      <c r="K29" s="24"/>
    </row>
    <row r="30" spans="1:11" ht="12.75">
      <c r="A30" s="28">
        <v>13</v>
      </c>
      <c r="B30" s="145"/>
      <c r="C30" s="167"/>
      <c r="D30" s="146"/>
      <c r="E30" s="147"/>
      <c r="F30" s="148"/>
      <c r="G30" s="144"/>
      <c r="H30" s="147"/>
      <c r="I30" s="147"/>
      <c r="J30" s="146"/>
      <c r="K30" s="24"/>
    </row>
    <row r="31" spans="1:11" ht="12.75">
      <c r="A31" s="207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20000</v>
      </c>
      <c r="G36" s="44">
        <f>SUM(G18:G34)</f>
        <v>3294.84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v>0</v>
      </c>
      <c r="G37" s="42"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20000</v>
      </c>
      <c r="G38" s="42">
        <f>G36-G37</f>
        <v>3294.84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113048</v>
      </c>
      <c r="G39" s="46">
        <f>G16-G36</f>
        <v>162103.80000000002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102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B37:E37"/>
    <mergeCell ref="A16:E16"/>
    <mergeCell ref="H16:J16"/>
    <mergeCell ref="A36:E36"/>
    <mergeCell ref="H36:J36"/>
    <mergeCell ref="A39:E39"/>
    <mergeCell ref="H39:J39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6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55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26</v>
      </c>
      <c r="D10" s="17">
        <v>163</v>
      </c>
      <c r="E10" s="18" t="s">
        <v>28</v>
      </c>
      <c r="F10" s="19"/>
      <c r="G10" s="127"/>
      <c r="H10" s="11" t="s">
        <v>8</v>
      </c>
      <c r="I10" s="123">
        <f>F12/D10/12</f>
        <v>6.860940695296524</v>
      </c>
      <c r="J10" s="13" t="s">
        <v>29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40000</v>
      </c>
      <c r="G11" s="44">
        <v>57273.38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13420</f>
        <v>13420</v>
      </c>
      <c r="G12" s="41">
        <v>19898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/>
      <c r="H13" s="274"/>
      <c r="I13" s="275"/>
      <c r="J13" s="275"/>
      <c r="K13" s="53"/>
    </row>
    <row r="14" spans="1:11" s="40" customFormat="1" ht="12.75" customHeight="1">
      <c r="A14" s="276" t="s">
        <v>77</v>
      </c>
      <c r="B14" s="277"/>
      <c r="C14" s="277"/>
      <c r="D14" s="277"/>
      <c r="E14" s="277"/>
      <c r="F14" s="41">
        <v>7656</v>
      </c>
      <c r="G14" s="41"/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/>
      <c r="H15" s="274"/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61076</v>
      </c>
      <c r="G16" s="45">
        <f>G11+G12+G13+G14+G15</f>
        <v>77171.38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18</v>
      </c>
      <c r="C18" s="96" t="s">
        <v>20</v>
      </c>
      <c r="D18" s="86"/>
      <c r="E18" s="87"/>
      <c r="F18" s="98">
        <v>10000</v>
      </c>
      <c r="G18" s="88"/>
      <c r="H18" s="86">
        <v>2015</v>
      </c>
      <c r="I18" s="87"/>
      <c r="J18" s="99" t="s">
        <v>3</v>
      </c>
      <c r="K18" s="100"/>
    </row>
    <row r="19" spans="1:11" ht="14.25" customHeight="1">
      <c r="A19" s="28">
        <v>2</v>
      </c>
      <c r="B19" s="168" t="s">
        <v>173</v>
      </c>
      <c r="C19" s="170" t="s">
        <v>209</v>
      </c>
      <c r="D19" s="151"/>
      <c r="E19" s="92"/>
      <c r="F19" s="172"/>
      <c r="G19" s="236">
        <v>189.42</v>
      </c>
      <c r="H19" s="147">
        <v>2015</v>
      </c>
      <c r="I19" s="92"/>
      <c r="J19" s="151" t="s">
        <v>3</v>
      </c>
      <c r="K19" s="180"/>
    </row>
    <row r="20" spans="1:11" ht="12.75">
      <c r="A20" s="29">
        <v>3</v>
      </c>
      <c r="B20" s="170"/>
      <c r="C20" s="170"/>
      <c r="D20" s="147"/>
      <c r="E20" s="147"/>
      <c r="F20" s="172"/>
      <c r="G20" s="144"/>
      <c r="H20" s="147"/>
      <c r="I20" s="147"/>
      <c r="J20" s="151"/>
      <c r="K20" s="178"/>
    </row>
    <row r="21" spans="1:11" ht="12.75">
      <c r="A21" s="29">
        <v>4</v>
      </c>
      <c r="B21" s="170"/>
      <c r="C21" s="170"/>
      <c r="D21" s="147"/>
      <c r="E21" s="147"/>
      <c r="F21" s="144"/>
      <c r="G21" s="144"/>
      <c r="H21" s="147"/>
      <c r="I21" s="147"/>
      <c r="J21" s="147"/>
      <c r="K21" s="179"/>
    </row>
    <row r="22" spans="1:11" ht="12.75">
      <c r="A22" s="29">
        <v>5</v>
      </c>
      <c r="B22" s="170"/>
      <c r="C22" s="170"/>
      <c r="D22" s="147"/>
      <c r="E22" s="147"/>
      <c r="F22" s="144"/>
      <c r="G22" s="144"/>
      <c r="H22" s="147"/>
      <c r="I22" s="147"/>
      <c r="J22" s="147"/>
      <c r="K22" s="179"/>
    </row>
    <row r="23" spans="1:11" ht="12.75">
      <c r="A23" s="29">
        <v>6</v>
      </c>
      <c r="B23" s="170"/>
      <c r="C23" s="170"/>
      <c r="D23" s="147"/>
      <c r="E23" s="147"/>
      <c r="F23" s="144"/>
      <c r="G23" s="144"/>
      <c r="H23" s="147"/>
      <c r="I23" s="147"/>
      <c r="J23" s="146"/>
      <c r="K23" s="179"/>
    </row>
    <row r="24" spans="1:11" ht="12.75">
      <c r="A24" s="28">
        <v>7</v>
      </c>
      <c r="B24" s="168"/>
      <c r="C24" s="143"/>
      <c r="D24" s="151"/>
      <c r="E24" s="92"/>
      <c r="F24" s="152"/>
      <c r="G24" s="160"/>
      <c r="H24" s="92"/>
      <c r="I24" s="92"/>
      <c r="J24" s="151"/>
      <c r="K24" s="180"/>
    </row>
    <row r="25" spans="1:11" ht="12.75">
      <c r="A25" s="28">
        <v>8</v>
      </c>
      <c r="B25" s="145"/>
      <c r="C25" s="167"/>
      <c r="D25" s="146"/>
      <c r="E25" s="147"/>
      <c r="F25" s="148"/>
      <c r="G25" s="144"/>
      <c r="H25" s="147"/>
      <c r="I25" s="147"/>
      <c r="J25" s="151"/>
      <c r="K25" s="180"/>
    </row>
    <row r="26" spans="1:11" ht="12.75">
      <c r="A26" s="120">
        <v>9</v>
      </c>
      <c r="B26" s="145"/>
      <c r="C26" s="167"/>
      <c r="D26" s="146"/>
      <c r="E26" s="147"/>
      <c r="F26" s="148"/>
      <c r="G26" s="144"/>
      <c r="H26" s="147"/>
      <c r="I26" s="147"/>
      <c r="J26" s="146"/>
      <c r="K26" s="180"/>
    </row>
    <row r="27" spans="1:11" ht="12.75">
      <c r="A27" s="28">
        <v>10</v>
      </c>
      <c r="B27" s="145"/>
      <c r="C27" s="167"/>
      <c r="D27" s="146"/>
      <c r="E27" s="147"/>
      <c r="F27" s="148"/>
      <c r="G27" s="144"/>
      <c r="H27" s="147"/>
      <c r="I27" s="147"/>
      <c r="J27" s="146"/>
      <c r="K27" s="180"/>
    </row>
    <row r="28" spans="1:11" ht="12.75">
      <c r="A28" s="28">
        <v>11</v>
      </c>
      <c r="B28" s="145"/>
      <c r="C28" s="167"/>
      <c r="D28" s="146"/>
      <c r="E28" s="147"/>
      <c r="F28" s="148"/>
      <c r="G28" s="144"/>
      <c r="H28" s="147"/>
      <c r="I28" s="147"/>
      <c r="J28" s="146"/>
      <c r="K28" s="180"/>
    </row>
    <row r="29" spans="1:11" ht="12.75">
      <c r="A29" s="207">
        <v>12</v>
      </c>
      <c r="B29" s="145"/>
      <c r="C29" s="167"/>
      <c r="D29" s="146"/>
      <c r="E29" s="147"/>
      <c r="F29" s="148"/>
      <c r="G29" s="144"/>
      <c r="H29" s="147"/>
      <c r="I29" s="147"/>
      <c r="J29" s="146"/>
      <c r="K29" s="180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07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10000</v>
      </c>
      <c r="G36" s="44">
        <f>SUM(G18:G34)</f>
        <v>189.42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v>0</v>
      </c>
      <c r="G37" s="42"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10000</v>
      </c>
      <c r="G38" s="42">
        <f>G36-G37</f>
        <v>189.42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51076</v>
      </c>
      <c r="G39" s="46">
        <f>G16-G36</f>
        <v>76981.96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103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B38:E38"/>
    <mergeCell ref="H38:J38"/>
    <mergeCell ref="A39:E39"/>
    <mergeCell ref="H39:J39"/>
    <mergeCell ref="B37:E37"/>
    <mergeCell ref="A16:E16"/>
    <mergeCell ref="H16:J16"/>
    <mergeCell ref="A36:E36"/>
    <mergeCell ref="H36:J36"/>
    <mergeCell ref="H37:J37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4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56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26</v>
      </c>
      <c r="D10" s="17">
        <v>175</v>
      </c>
      <c r="E10" s="18" t="s">
        <v>28</v>
      </c>
      <c r="F10" s="19"/>
      <c r="G10" s="127"/>
      <c r="H10" s="11" t="s">
        <v>8</v>
      </c>
      <c r="I10" s="123">
        <f>F12/D10/12</f>
        <v>6.590476190476191</v>
      </c>
      <c r="J10" s="13" t="s">
        <v>29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45000</v>
      </c>
      <c r="G11" s="44">
        <v>63061.81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13840</f>
        <v>13840</v>
      </c>
      <c r="G12" s="41">
        <f>21519</f>
        <v>21519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/>
      <c r="H13" s="274"/>
      <c r="I13" s="275"/>
      <c r="J13" s="275"/>
      <c r="K13" s="53"/>
    </row>
    <row r="14" spans="1:11" s="40" customFormat="1" ht="12.75" customHeight="1">
      <c r="A14" s="276" t="s">
        <v>77</v>
      </c>
      <c r="B14" s="277"/>
      <c r="C14" s="277"/>
      <c r="D14" s="277"/>
      <c r="E14" s="277"/>
      <c r="F14" s="41">
        <v>7656</v>
      </c>
      <c r="G14" s="41"/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/>
      <c r="H15" s="274"/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66496</v>
      </c>
      <c r="G16" s="45">
        <f>G11+G12+G13+G14+G15</f>
        <v>84580.81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32</v>
      </c>
      <c r="C18" s="96" t="s">
        <v>20</v>
      </c>
      <c r="D18" s="86"/>
      <c r="E18" s="87"/>
      <c r="F18" s="98">
        <v>10000</v>
      </c>
      <c r="G18" s="88"/>
      <c r="H18" s="86">
        <v>2015</v>
      </c>
      <c r="I18" s="87"/>
      <c r="J18" s="99" t="s">
        <v>3</v>
      </c>
      <c r="K18" s="100"/>
    </row>
    <row r="19" spans="1:11" ht="14.25" customHeight="1">
      <c r="A19" s="28">
        <v>2</v>
      </c>
      <c r="B19" s="168" t="s">
        <v>178</v>
      </c>
      <c r="C19" s="170" t="s">
        <v>209</v>
      </c>
      <c r="D19" s="151"/>
      <c r="E19" s="92"/>
      <c r="F19" s="172"/>
      <c r="G19" s="236">
        <v>189.42</v>
      </c>
      <c r="H19" s="147">
        <v>2015</v>
      </c>
      <c r="I19" s="92"/>
      <c r="J19" s="151" t="s">
        <v>3</v>
      </c>
      <c r="K19" s="180"/>
    </row>
    <row r="20" spans="1:11" ht="12.75">
      <c r="A20" s="29">
        <v>3</v>
      </c>
      <c r="B20" s="170" t="s">
        <v>178</v>
      </c>
      <c r="C20" s="170" t="s">
        <v>217</v>
      </c>
      <c r="D20" s="147"/>
      <c r="E20" s="147"/>
      <c r="F20" s="172"/>
      <c r="G20" s="233">
        <v>864</v>
      </c>
      <c r="H20" s="147">
        <v>2015</v>
      </c>
      <c r="I20" s="147"/>
      <c r="J20" s="151" t="s">
        <v>3</v>
      </c>
      <c r="K20" s="178"/>
    </row>
    <row r="21" spans="1:11" ht="12.75">
      <c r="A21" s="29">
        <v>4</v>
      </c>
      <c r="B21" s="170"/>
      <c r="C21" s="170"/>
      <c r="D21" s="147"/>
      <c r="E21" s="147"/>
      <c r="F21" s="144"/>
      <c r="G21" s="233"/>
      <c r="H21" s="147"/>
      <c r="I21" s="147"/>
      <c r="J21" s="147"/>
      <c r="K21" s="179"/>
    </row>
    <row r="22" spans="1:11" ht="12.75">
      <c r="A22" s="29">
        <v>5</v>
      </c>
      <c r="B22" s="170"/>
      <c r="C22" s="170"/>
      <c r="D22" s="147"/>
      <c r="E22" s="147"/>
      <c r="F22" s="144"/>
      <c r="G22" s="144"/>
      <c r="H22" s="147"/>
      <c r="I22" s="147"/>
      <c r="J22" s="147"/>
      <c r="K22" s="179"/>
    </row>
    <row r="23" spans="1:11" ht="12.75">
      <c r="A23" s="29">
        <v>6</v>
      </c>
      <c r="B23" s="170"/>
      <c r="C23" s="170"/>
      <c r="D23" s="147"/>
      <c r="E23" s="147"/>
      <c r="F23" s="144"/>
      <c r="G23" s="144"/>
      <c r="H23" s="147"/>
      <c r="I23" s="147"/>
      <c r="J23" s="146"/>
      <c r="K23" s="179"/>
    </row>
    <row r="24" spans="1:11" ht="12.75">
      <c r="A24" s="28">
        <v>7</v>
      </c>
      <c r="B24" s="168"/>
      <c r="C24" s="143"/>
      <c r="D24" s="151"/>
      <c r="E24" s="92"/>
      <c r="F24" s="152"/>
      <c r="G24" s="160"/>
      <c r="H24" s="92"/>
      <c r="I24" s="92"/>
      <c r="J24" s="151"/>
      <c r="K24" s="180"/>
    </row>
    <row r="25" spans="1:11" ht="12.75">
      <c r="A25" s="28">
        <v>8</v>
      </c>
      <c r="B25" s="145"/>
      <c r="C25" s="167"/>
      <c r="D25" s="146"/>
      <c r="E25" s="147"/>
      <c r="F25" s="148"/>
      <c r="G25" s="144"/>
      <c r="H25" s="147"/>
      <c r="I25" s="147"/>
      <c r="J25" s="151"/>
      <c r="K25" s="180"/>
    </row>
    <row r="26" spans="1:11" ht="12.75">
      <c r="A26" s="120">
        <v>9</v>
      </c>
      <c r="B26" s="145"/>
      <c r="C26" s="167"/>
      <c r="D26" s="146"/>
      <c r="E26" s="147"/>
      <c r="F26" s="148"/>
      <c r="G26" s="144"/>
      <c r="H26" s="147"/>
      <c r="I26" s="147"/>
      <c r="J26" s="146"/>
      <c r="K26" s="180"/>
    </row>
    <row r="27" spans="1:11" ht="12.75">
      <c r="A27" s="28">
        <v>10</v>
      </c>
      <c r="B27" s="145"/>
      <c r="C27" s="167"/>
      <c r="D27" s="146"/>
      <c r="E27" s="147"/>
      <c r="F27" s="148"/>
      <c r="G27" s="144"/>
      <c r="H27" s="147"/>
      <c r="I27" s="147"/>
      <c r="J27" s="146"/>
      <c r="K27" s="180"/>
    </row>
    <row r="28" spans="1:11" ht="12.75">
      <c r="A28" s="28">
        <v>11</v>
      </c>
      <c r="B28" s="145"/>
      <c r="C28" s="167"/>
      <c r="D28" s="146"/>
      <c r="E28" s="147"/>
      <c r="F28" s="148"/>
      <c r="G28" s="144"/>
      <c r="H28" s="147"/>
      <c r="I28" s="147"/>
      <c r="J28" s="146"/>
      <c r="K28" s="180"/>
    </row>
    <row r="29" spans="1:11" ht="12.75">
      <c r="A29" s="207">
        <v>12</v>
      </c>
      <c r="B29" s="145"/>
      <c r="C29" s="167"/>
      <c r="D29" s="146"/>
      <c r="E29" s="147"/>
      <c r="F29" s="148"/>
      <c r="G29" s="144"/>
      <c r="H29" s="147"/>
      <c r="I29" s="147"/>
      <c r="J29" s="146"/>
      <c r="K29" s="180"/>
    </row>
    <row r="30" spans="1:11" ht="12.75">
      <c r="A30" s="28">
        <v>13</v>
      </c>
      <c r="B30" s="145"/>
      <c r="C30" s="167"/>
      <c r="D30" s="146"/>
      <c r="E30" s="147"/>
      <c r="F30" s="148"/>
      <c r="G30" s="144"/>
      <c r="H30" s="147"/>
      <c r="I30" s="147"/>
      <c r="J30" s="146"/>
      <c r="K30" s="180"/>
    </row>
    <row r="31" spans="1:11" ht="12.75">
      <c r="A31" s="207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10000</v>
      </c>
      <c r="G36" s="44">
        <f>SUM(G18:G34)</f>
        <v>1053.42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v>0</v>
      </c>
      <c r="G37" s="42"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10000</v>
      </c>
      <c r="G38" s="42">
        <f>G36-G37</f>
        <v>1053.42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56496</v>
      </c>
      <c r="G39" s="46">
        <f>G16-G36</f>
        <v>83527.39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104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1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57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26</v>
      </c>
      <c r="D10" s="17">
        <v>255</v>
      </c>
      <c r="E10" s="18" t="s">
        <v>28</v>
      </c>
      <c r="F10" s="19"/>
      <c r="G10" s="127"/>
      <c r="H10" s="11" t="s">
        <v>8</v>
      </c>
      <c r="I10" s="123">
        <f>F12/D10/12</f>
        <v>16.9281045751634</v>
      </c>
      <c r="J10" s="13" t="s">
        <v>29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0</v>
      </c>
      <c r="G11" s="44">
        <v>-20237.02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51800</f>
        <v>51800</v>
      </c>
      <c r="G12" s="41">
        <f>15643+11377+6907+13409+4470</f>
        <v>51806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/>
      <c r="H13" s="274"/>
      <c r="I13" s="275"/>
      <c r="J13" s="275"/>
      <c r="K13" s="53"/>
    </row>
    <row r="14" spans="1:11" s="40" customFormat="1" ht="12.75" customHeight="1">
      <c r="A14" s="276" t="s">
        <v>39</v>
      </c>
      <c r="B14" s="277"/>
      <c r="C14" s="277"/>
      <c r="D14" s="277"/>
      <c r="E14" s="277"/>
      <c r="F14" s="41">
        <v>0</v>
      </c>
      <c r="G14" s="41"/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/>
      <c r="H15" s="274"/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51800</v>
      </c>
      <c r="G16" s="45">
        <f>G11+G12+G13+G14+G15</f>
        <v>31568.98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40</v>
      </c>
      <c r="C18" s="96" t="s">
        <v>20</v>
      </c>
      <c r="D18" s="86"/>
      <c r="E18" s="87"/>
      <c r="F18" s="98">
        <v>10000</v>
      </c>
      <c r="G18" s="88"/>
      <c r="H18" s="86">
        <v>2015</v>
      </c>
      <c r="I18" s="87"/>
      <c r="J18" s="99" t="s">
        <v>3</v>
      </c>
      <c r="K18" s="100"/>
    </row>
    <row r="19" spans="1:11" ht="12.75">
      <c r="A19" s="28">
        <v>2</v>
      </c>
      <c r="B19" s="168" t="s">
        <v>181</v>
      </c>
      <c r="C19" s="170" t="s">
        <v>182</v>
      </c>
      <c r="D19" s="151"/>
      <c r="E19" s="92"/>
      <c r="F19" s="172"/>
      <c r="G19" s="236">
        <f>3791.73+2337.92</f>
        <v>6129.65</v>
      </c>
      <c r="H19" s="147" t="s">
        <v>277</v>
      </c>
      <c r="I19" s="92"/>
      <c r="J19" s="151" t="s">
        <v>3</v>
      </c>
      <c r="K19" s="180"/>
    </row>
    <row r="20" spans="1:11" ht="12.75">
      <c r="A20" s="29">
        <v>3</v>
      </c>
      <c r="B20" s="170" t="s">
        <v>181</v>
      </c>
      <c r="C20" s="170" t="s">
        <v>183</v>
      </c>
      <c r="D20" s="147"/>
      <c r="E20" s="147"/>
      <c r="F20" s="172"/>
      <c r="G20" s="233">
        <v>3533.93</v>
      </c>
      <c r="H20" s="147" t="s">
        <v>277</v>
      </c>
      <c r="I20" s="147"/>
      <c r="J20" s="151" t="s">
        <v>3</v>
      </c>
      <c r="K20" s="178"/>
    </row>
    <row r="21" spans="1:11" ht="12.75">
      <c r="A21" s="29">
        <v>4</v>
      </c>
      <c r="B21" s="170" t="s">
        <v>181</v>
      </c>
      <c r="C21" s="170" t="s">
        <v>249</v>
      </c>
      <c r="D21" s="147"/>
      <c r="E21" s="147"/>
      <c r="F21" s="144"/>
      <c r="G21" s="233">
        <v>7078.75</v>
      </c>
      <c r="H21" s="147" t="s">
        <v>277</v>
      </c>
      <c r="I21" s="147"/>
      <c r="J21" s="147" t="s">
        <v>3</v>
      </c>
      <c r="K21" s="179"/>
    </row>
    <row r="22" spans="1:11" ht="12.75">
      <c r="A22" s="29">
        <v>5</v>
      </c>
      <c r="B22" s="170"/>
      <c r="C22" s="170"/>
      <c r="D22" s="147"/>
      <c r="E22" s="147"/>
      <c r="F22" s="144"/>
      <c r="G22" s="144"/>
      <c r="H22" s="147"/>
      <c r="I22" s="147"/>
      <c r="J22" s="147"/>
      <c r="K22" s="179"/>
    </row>
    <row r="23" spans="1:11" ht="12.75">
      <c r="A23" s="29">
        <v>6</v>
      </c>
      <c r="B23" s="170"/>
      <c r="C23" s="170"/>
      <c r="D23" s="147"/>
      <c r="E23" s="147"/>
      <c r="F23" s="144"/>
      <c r="G23" s="144"/>
      <c r="H23" s="147"/>
      <c r="I23" s="147"/>
      <c r="J23" s="146"/>
      <c r="K23" s="179"/>
    </row>
    <row r="24" spans="1:11" ht="12.75">
      <c r="A24" s="28">
        <v>7</v>
      </c>
      <c r="B24" s="168"/>
      <c r="C24" s="143"/>
      <c r="D24" s="151"/>
      <c r="E24" s="92"/>
      <c r="F24" s="152"/>
      <c r="G24" s="160"/>
      <c r="H24" s="92"/>
      <c r="I24" s="92"/>
      <c r="J24" s="151"/>
      <c r="K24" s="180"/>
    </row>
    <row r="25" spans="1:11" ht="12.75">
      <c r="A25" s="28">
        <v>8</v>
      </c>
      <c r="B25" s="145"/>
      <c r="C25" s="167"/>
      <c r="D25" s="146"/>
      <c r="E25" s="147"/>
      <c r="F25" s="148"/>
      <c r="G25" s="144"/>
      <c r="H25" s="147"/>
      <c r="I25" s="147"/>
      <c r="J25" s="151"/>
      <c r="K25" s="180"/>
    </row>
    <row r="26" spans="1:11" ht="12.75">
      <c r="A26" s="120">
        <v>9</v>
      </c>
      <c r="B26" s="145"/>
      <c r="C26" s="167"/>
      <c r="D26" s="146"/>
      <c r="E26" s="147"/>
      <c r="F26" s="148"/>
      <c r="G26" s="144"/>
      <c r="H26" s="147"/>
      <c r="I26" s="147"/>
      <c r="J26" s="146"/>
      <c r="K26" s="180"/>
    </row>
    <row r="27" spans="1:11" ht="12.75">
      <c r="A27" s="28">
        <v>10</v>
      </c>
      <c r="B27" s="145"/>
      <c r="C27" s="167"/>
      <c r="D27" s="146"/>
      <c r="E27" s="147"/>
      <c r="F27" s="148"/>
      <c r="G27" s="144"/>
      <c r="H27" s="147"/>
      <c r="I27" s="147"/>
      <c r="J27" s="146"/>
      <c r="K27" s="180"/>
    </row>
    <row r="28" spans="1:11" ht="12.75">
      <c r="A28" s="28">
        <v>11</v>
      </c>
      <c r="B28" s="145"/>
      <c r="C28" s="167"/>
      <c r="D28" s="146"/>
      <c r="E28" s="147"/>
      <c r="F28" s="148"/>
      <c r="G28" s="144"/>
      <c r="H28" s="147"/>
      <c r="I28" s="147"/>
      <c r="J28" s="146"/>
      <c r="K28" s="180"/>
    </row>
    <row r="29" spans="1:11" ht="12.75">
      <c r="A29" s="207">
        <v>12</v>
      </c>
      <c r="B29" s="145"/>
      <c r="C29" s="167"/>
      <c r="D29" s="146"/>
      <c r="E29" s="147"/>
      <c r="F29" s="148"/>
      <c r="G29" s="144"/>
      <c r="H29" s="147"/>
      <c r="I29" s="147"/>
      <c r="J29" s="146"/>
      <c r="K29" s="180"/>
    </row>
    <row r="30" spans="1:11" ht="12.75">
      <c r="A30" s="28">
        <v>13</v>
      </c>
      <c r="B30" s="145"/>
      <c r="C30" s="167"/>
      <c r="D30" s="146"/>
      <c r="E30" s="147"/>
      <c r="F30" s="148"/>
      <c r="G30" s="144"/>
      <c r="H30" s="147"/>
      <c r="I30" s="147"/>
      <c r="J30" s="146"/>
      <c r="K30" s="180"/>
    </row>
    <row r="31" spans="1:11" ht="12.75">
      <c r="A31" s="207">
        <v>14</v>
      </c>
      <c r="B31" s="145"/>
      <c r="C31" s="167"/>
      <c r="D31" s="146"/>
      <c r="E31" s="147"/>
      <c r="F31" s="148"/>
      <c r="G31" s="144"/>
      <c r="H31" s="147"/>
      <c r="I31" s="147"/>
      <c r="J31" s="146"/>
      <c r="K31" s="180"/>
    </row>
    <row r="32" spans="1:11" ht="12.75">
      <c r="A32" s="28">
        <v>15</v>
      </c>
      <c r="B32" s="145"/>
      <c r="C32" s="167"/>
      <c r="D32" s="146"/>
      <c r="E32" s="147"/>
      <c r="F32" s="148"/>
      <c r="G32" s="144"/>
      <c r="H32" s="147"/>
      <c r="I32" s="147"/>
      <c r="J32" s="146"/>
      <c r="K32" s="180"/>
    </row>
    <row r="33" spans="1:11" ht="12.75">
      <c r="A33" s="28">
        <v>16</v>
      </c>
      <c r="B33" s="168"/>
      <c r="C33" s="143"/>
      <c r="D33" s="151"/>
      <c r="E33" s="92"/>
      <c r="F33" s="152"/>
      <c r="G33" s="160"/>
      <c r="H33" s="92"/>
      <c r="I33" s="92"/>
      <c r="J33" s="151"/>
      <c r="K33" s="180"/>
    </row>
    <row r="34" spans="1:11" ht="13.5" thickBot="1">
      <c r="A34" s="101">
        <v>17</v>
      </c>
      <c r="B34" s="184"/>
      <c r="C34" s="185"/>
      <c r="D34" s="186"/>
      <c r="E34" s="187"/>
      <c r="F34" s="188"/>
      <c r="G34" s="189"/>
      <c r="H34" s="187"/>
      <c r="I34" s="187"/>
      <c r="J34" s="186"/>
      <c r="K34" s="190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10000</v>
      </c>
      <c r="G36" s="44">
        <f>SUM(G18:G34)</f>
        <v>16742.33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v>0</v>
      </c>
      <c r="G37" s="42"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10000</v>
      </c>
      <c r="G38" s="42">
        <f>G36-G37</f>
        <v>16742.33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41800</v>
      </c>
      <c r="G39" s="46">
        <f>G16-G36</f>
        <v>14826.649999999998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105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B37:E37"/>
    <mergeCell ref="A16:E16"/>
    <mergeCell ref="H16:J16"/>
    <mergeCell ref="A36:E36"/>
    <mergeCell ref="H36:J36"/>
    <mergeCell ref="A39:E39"/>
    <mergeCell ref="H39:J39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="150" zoomScaleNormal="150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6.2812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192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110</v>
      </c>
      <c r="D10" s="17">
        <f>6756.45-64.2-63.6-2889-22.9</f>
        <v>3716.7499999999995</v>
      </c>
      <c r="E10" s="18" t="s">
        <v>6</v>
      </c>
      <c r="F10" s="19"/>
      <c r="G10" s="141">
        <f>64.2+63.6</f>
        <v>127.80000000000001</v>
      </c>
      <c r="H10" s="13" t="s">
        <v>114</v>
      </c>
      <c r="I10" s="12" t="s">
        <v>116</v>
      </c>
      <c r="J10" s="13" t="s">
        <v>7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f>1260052-52</f>
        <v>1260000</v>
      </c>
      <c r="G11" s="44">
        <f>1116631.83</f>
        <v>1116631.83</v>
      </c>
      <c r="H11" s="285" t="s">
        <v>281</v>
      </c>
      <c r="I11" s="286"/>
      <c r="J11" s="286"/>
      <c r="K11" s="287"/>
    </row>
    <row r="12" spans="1:11" s="14" customFormat="1" ht="13.5" customHeight="1">
      <c r="A12" s="272" t="s">
        <v>36</v>
      </c>
      <c r="B12" s="273"/>
      <c r="C12" s="273"/>
      <c r="D12" s="273"/>
      <c r="E12" s="273"/>
      <c r="F12" s="41">
        <v>0</v>
      </c>
      <c r="G12" s="41">
        <v>0</v>
      </c>
      <c r="H12" s="274"/>
      <c r="I12" s="275"/>
      <c r="J12" s="275"/>
      <c r="K12" s="53"/>
    </row>
    <row r="13" spans="1:11" s="40" customFormat="1" ht="12.75" customHeight="1">
      <c r="A13" s="276" t="s">
        <v>44</v>
      </c>
      <c r="B13" s="277"/>
      <c r="C13" s="277"/>
      <c r="D13" s="277"/>
      <c r="E13" s="277"/>
      <c r="F13" s="41">
        <f>89703.4*2</f>
        <v>179406.8</v>
      </c>
      <c r="G13" s="41">
        <v>180247.32</v>
      </c>
      <c r="H13" s="274"/>
      <c r="I13" s="275"/>
      <c r="J13" s="275"/>
      <c r="K13" s="53"/>
    </row>
    <row r="14" spans="1:11" s="40" customFormat="1" ht="12.75" customHeight="1">
      <c r="A14" s="276" t="s">
        <v>39</v>
      </c>
      <c r="B14" s="277"/>
      <c r="C14" s="277"/>
      <c r="D14" s="277"/>
      <c r="E14" s="277"/>
      <c r="F14" s="110"/>
      <c r="G14" s="42"/>
      <c r="H14" s="274"/>
      <c r="I14" s="275"/>
      <c r="J14" s="275"/>
      <c r="K14" s="53"/>
    </row>
    <row r="15" spans="1:11" s="14" customFormat="1" ht="13.5" customHeight="1">
      <c r="A15" s="272" t="s">
        <v>83</v>
      </c>
      <c r="B15" s="273"/>
      <c r="C15" s="273"/>
      <c r="D15" s="273"/>
      <c r="E15" s="273"/>
      <c r="F15" s="41">
        <v>0</v>
      </c>
      <c r="G15" s="41">
        <v>-251700</v>
      </c>
      <c r="H15" s="274" t="s">
        <v>264</v>
      </c>
      <c r="I15" s="275"/>
      <c r="J15" s="275"/>
      <c r="K15" s="53"/>
    </row>
    <row r="16" spans="1:11" s="39" customFormat="1" ht="12.75" customHeight="1" thickBot="1">
      <c r="A16" s="252" t="s">
        <v>145</v>
      </c>
      <c r="B16" s="253"/>
      <c r="C16" s="253"/>
      <c r="D16" s="253"/>
      <c r="E16" s="253"/>
      <c r="F16" s="45">
        <f>F11+F12+F13+F14+F15</f>
        <v>1439406.8</v>
      </c>
      <c r="G16" s="45">
        <f>G11+G12+G13+G14+G15</f>
        <v>1045179.1500000001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35">
        <v>1</v>
      </c>
      <c r="B18" s="68" t="s">
        <v>85</v>
      </c>
      <c r="C18" s="94" t="s">
        <v>20</v>
      </c>
      <c r="D18" s="114"/>
      <c r="E18" s="113"/>
      <c r="F18" s="142">
        <v>20000</v>
      </c>
      <c r="G18" s="222"/>
      <c r="H18" s="114">
        <v>2015</v>
      </c>
      <c r="I18" s="113"/>
      <c r="J18" s="176" t="s">
        <v>4</v>
      </c>
      <c r="K18" s="128"/>
    </row>
    <row r="19" spans="1:11" ht="12.75">
      <c r="A19" s="139">
        <v>2</v>
      </c>
      <c r="B19" s="143" t="s">
        <v>196</v>
      </c>
      <c r="C19" s="170" t="s">
        <v>261</v>
      </c>
      <c r="D19" s="173"/>
      <c r="E19" s="143"/>
      <c r="F19" s="152"/>
      <c r="G19" s="234">
        <f>16286</f>
        <v>16286</v>
      </c>
      <c r="H19" s="173"/>
      <c r="I19" s="143"/>
      <c r="J19" s="200" t="s">
        <v>3</v>
      </c>
      <c r="K19" s="195"/>
    </row>
    <row r="20" spans="1:11" ht="12.75">
      <c r="A20" s="139">
        <v>3</v>
      </c>
      <c r="B20" s="143" t="s">
        <v>193</v>
      </c>
      <c r="C20" s="143" t="s">
        <v>194</v>
      </c>
      <c r="D20" s="173"/>
      <c r="E20" s="143"/>
      <c r="F20" s="152"/>
      <c r="G20" s="234">
        <v>9810.45</v>
      </c>
      <c r="H20" s="173"/>
      <c r="I20" s="143"/>
      <c r="J20" s="200" t="s">
        <v>3</v>
      </c>
      <c r="K20" s="195"/>
    </row>
    <row r="21" spans="1:11" ht="12.75">
      <c r="A21" s="139">
        <v>4</v>
      </c>
      <c r="B21" s="143" t="s">
        <v>196</v>
      </c>
      <c r="C21" s="143" t="s">
        <v>197</v>
      </c>
      <c r="D21" s="173"/>
      <c r="E21" s="143"/>
      <c r="F21" s="152"/>
      <c r="G21" s="234">
        <v>6480</v>
      </c>
      <c r="H21" s="173"/>
      <c r="I21" s="143"/>
      <c r="J21" s="200" t="s">
        <v>3</v>
      </c>
      <c r="K21" s="195"/>
    </row>
    <row r="22" spans="1:11" ht="12.75">
      <c r="A22" s="139">
        <v>5</v>
      </c>
      <c r="B22" s="143" t="s">
        <v>196</v>
      </c>
      <c r="C22" s="143" t="s">
        <v>195</v>
      </c>
      <c r="D22" s="173"/>
      <c r="E22" s="143"/>
      <c r="F22" s="152"/>
      <c r="G22" s="234">
        <v>5000</v>
      </c>
      <c r="H22" s="173"/>
      <c r="I22" s="143"/>
      <c r="J22" s="200" t="s">
        <v>3</v>
      </c>
      <c r="K22" s="197"/>
    </row>
    <row r="23" spans="1:11" ht="12.75">
      <c r="A23" s="139">
        <v>6</v>
      </c>
      <c r="B23" s="143" t="s">
        <v>198</v>
      </c>
      <c r="C23" s="143" t="s">
        <v>262</v>
      </c>
      <c r="D23" s="173"/>
      <c r="E23" s="143"/>
      <c r="F23" s="152"/>
      <c r="G23" s="234">
        <v>-196.92</v>
      </c>
      <c r="H23" s="173">
        <v>2015</v>
      </c>
      <c r="I23" s="143"/>
      <c r="J23" s="200" t="s">
        <v>4</v>
      </c>
      <c r="K23" s="197" t="s">
        <v>199</v>
      </c>
    </row>
    <row r="24" spans="1:11" ht="12.75">
      <c r="A24" s="139">
        <v>7</v>
      </c>
      <c r="B24" s="143" t="s">
        <v>232</v>
      </c>
      <c r="C24" s="143" t="s">
        <v>231</v>
      </c>
      <c r="D24" s="173"/>
      <c r="E24" s="143"/>
      <c r="F24" s="152"/>
      <c r="G24" s="234">
        <f>2300+1900</f>
        <v>4200</v>
      </c>
      <c r="H24" s="173"/>
      <c r="I24" s="143"/>
      <c r="J24" s="200" t="s">
        <v>3</v>
      </c>
      <c r="K24" s="195"/>
    </row>
    <row r="25" spans="1:11" ht="12.75">
      <c r="A25" s="139">
        <v>8</v>
      </c>
      <c r="B25" s="143" t="s">
        <v>234</v>
      </c>
      <c r="C25" s="143" t="s">
        <v>233</v>
      </c>
      <c r="D25" s="173"/>
      <c r="E25" s="143"/>
      <c r="F25" s="152"/>
      <c r="G25" s="234">
        <v>6000</v>
      </c>
      <c r="H25" s="173"/>
      <c r="I25" s="143"/>
      <c r="J25" s="200" t="s">
        <v>3</v>
      </c>
      <c r="K25" s="195"/>
    </row>
    <row r="26" spans="1:11" ht="12.75">
      <c r="A26" s="120">
        <v>9</v>
      </c>
      <c r="B26" s="143" t="s">
        <v>193</v>
      </c>
      <c r="C26" s="143" t="s">
        <v>169</v>
      </c>
      <c r="D26" s="173"/>
      <c r="E26" s="143"/>
      <c r="F26" s="152"/>
      <c r="G26" s="234">
        <v>1100</v>
      </c>
      <c r="H26" s="173"/>
      <c r="I26" s="143"/>
      <c r="J26" s="200" t="s">
        <v>3</v>
      </c>
      <c r="K26" s="195"/>
    </row>
    <row r="27" spans="1:11" ht="12.75">
      <c r="A27" s="28">
        <v>10</v>
      </c>
      <c r="B27" s="143" t="s">
        <v>232</v>
      </c>
      <c r="C27" s="143" t="s">
        <v>263</v>
      </c>
      <c r="D27" s="173"/>
      <c r="E27" s="143"/>
      <c r="F27" s="152"/>
      <c r="G27" s="234">
        <v>626.66</v>
      </c>
      <c r="H27" s="173"/>
      <c r="I27" s="143"/>
      <c r="J27" s="200" t="s">
        <v>3</v>
      </c>
      <c r="K27" s="195"/>
    </row>
    <row r="28" spans="1:11" ht="12.75">
      <c r="A28" s="28">
        <v>11</v>
      </c>
      <c r="B28" s="143"/>
      <c r="C28" s="143"/>
      <c r="D28" s="173"/>
      <c r="E28" s="143"/>
      <c r="F28" s="152"/>
      <c r="G28" s="204"/>
      <c r="H28" s="173"/>
      <c r="I28" s="143"/>
      <c r="J28" s="200"/>
      <c r="K28" s="195"/>
    </row>
    <row r="29" spans="1:11" ht="12.75">
      <c r="A29" s="207">
        <v>12</v>
      </c>
      <c r="B29" s="143"/>
      <c r="C29" s="143"/>
      <c r="D29" s="173"/>
      <c r="E29" s="143"/>
      <c r="F29" s="152"/>
      <c r="G29" s="204"/>
      <c r="H29" s="173"/>
      <c r="I29" s="143"/>
      <c r="J29" s="200"/>
      <c r="K29" s="195"/>
    </row>
    <row r="30" spans="1:11" ht="12.75">
      <c r="A30" s="28">
        <v>13</v>
      </c>
      <c r="B30" s="143"/>
      <c r="C30" s="143"/>
      <c r="D30" s="173"/>
      <c r="E30" s="143"/>
      <c r="F30" s="152"/>
      <c r="G30" s="204"/>
      <c r="H30" s="173"/>
      <c r="I30" s="143"/>
      <c r="J30" s="200"/>
      <c r="K30" s="195"/>
    </row>
    <row r="31" spans="1:11" ht="12.75">
      <c r="A31" s="207">
        <v>14</v>
      </c>
      <c r="B31" s="143"/>
      <c r="C31" s="143"/>
      <c r="D31" s="173"/>
      <c r="E31" s="143"/>
      <c r="F31" s="152"/>
      <c r="G31" s="204"/>
      <c r="H31" s="173"/>
      <c r="I31" s="143"/>
      <c r="J31" s="200"/>
      <c r="K31" s="195"/>
    </row>
    <row r="32" spans="1:11" ht="12.75">
      <c r="A32" s="28">
        <v>15</v>
      </c>
      <c r="B32" s="143"/>
      <c r="C32" s="143"/>
      <c r="D32" s="173"/>
      <c r="E32" s="143"/>
      <c r="F32" s="152"/>
      <c r="G32" s="194"/>
      <c r="H32" s="173"/>
      <c r="I32" s="143"/>
      <c r="J32" s="200"/>
      <c r="K32" s="195"/>
    </row>
    <row r="33" spans="1:11" ht="12.75">
      <c r="A33" s="28">
        <v>16</v>
      </c>
      <c r="B33" s="143"/>
      <c r="C33" s="143"/>
      <c r="D33" s="173"/>
      <c r="E33" s="143"/>
      <c r="F33" s="152"/>
      <c r="G33" s="194"/>
      <c r="H33" s="173"/>
      <c r="I33" s="143"/>
      <c r="J33" s="200"/>
      <c r="K33" s="195"/>
    </row>
    <row r="34" spans="1:11" ht="13.5" thickBot="1">
      <c r="A34" s="140">
        <v>11</v>
      </c>
      <c r="B34" s="185"/>
      <c r="C34" s="185"/>
      <c r="D34" s="198"/>
      <c r="E34" s="185"/>
      <c r="F34" s="188"/>
      <c r="G34" s="199"/>
      <c r="H34" s="198"/>
      <c r="I34" s="185"/>
      <c r="J34" s="201"/>
      <c r="K34" s="196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20000</v>
      </c>
      <c r="G36" s="44">
        <f>SUM(G18:G34)</f>
        <v>49306.19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f>F18</f>
        <v>20000</v>
      </c>
      <c r="G37" s="42"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0</v>
      </c>
      <c r="G38" s="42">
        <f>G36-G37</f>
        <v>49306.19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1419406.8</v>
      </c>
      <c r="G39" s="46">
        <f>G16-G36</f>
        <v>995872.9600000002</v>
      </c>
      <c r="H39" s="254"/>
      <c r="I39" s="255"/>
      <c r="J39" s="255"/>
      <c r="K39" s="54"/>
    </row>
    <row r="40" ht="12.75">
      <c r="K40" s="137"/>
    </row>
    <row r="41" ht="12.75">
      <c r="K41" s="137" t="s">
        <v>88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</sheetData>
  <sheetProtection/>
  <mergeCells count="34">
    <mergeCell ref="A39:E39"/>
    <mergeCell ref="H39:J39"/>
    <mergeCell ref="A36:E36"/>
    <mergeCell ref="H36:J36"/>
    <mergeCell ref="B38:E38"/>
    <mergeCell ref="B37:E37"/>
    <mergeCell ref="A15:E15"/>
    <mergeCell ref="H15:J15"/>
    <mergeCell ref="H37:J37"/>
    <mergeCell ref="A16:E16"/>
    <mergeCell ref="H16:J16"/>
    <mergeCell ref="H38:J38"/>
    <mergeCell ref="A14:E14"/>
    <mergeCell ref="H14:J14"/>
    <mergeCell ref="A11:E11"/>
    <mergeCell ref="A12:E12"/>
    <mergeCell ref="H12:J12"/>
    <mergeCell ref="H11:K11"/>
    <mergeCell ref="G6:G7"/>
    <mergeCell ref="H6:H7"/>
    <mergeCell ref="K6:K7"/>
    <mergeCell ref="A9:K9"/>
    <mergeCell ref="A13:E13"/>
    <mergeCell ref="H13:J13"/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J6:J7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5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58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26</v>
      </c>
      <c r="D10" s="17">
        <v>175</v>
      </c>
      <c r="E10" s="18" t="s">
        <v>28</v>
      </c>
      <c r="F10" s="19"/>
      <c r="G10" s="127"/>
      <c r="H10" s="11" t="s">
        <v>8</v>
      </c>
      <c r="I10" s="123">
        <f>F12/D10/12</f>
        <v>7.142857142857142</v>
      </c>
      <c r="J10" s="13" t="s">
        <v>29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40000</v>
      </c>
      <c r="G11" s="44">
        <v>50870.98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15000</f>
        <v>15000</v>
      </c>
      <c r="G12" s="41">
        <v>22674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/>
      <c r="H13" s="274"/>
      <c r="I13" s="275"/>
      <c r="J13" s="275"/>
      <c r="K13" s="53"/>
    </row>
    <row r="14" spans="1:11" s="40" customFormat="1" ht="12.75" customHeight="1">
      <c r="A14" s="276" t="s">
        <v>77</v>
      </c>
      <c r="B14" s="277"/>
      <c r="C14" s="277"/>
      <c r="D14" s="277"/>
      <c r="E14" s="277"/>
      <c r="F14" s="41">
        <v>7632</v>
      </c>
      <c r="G14" s="41"/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/>
      <c r="H15" s="274"/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62632</v>
      </c>
      <c r="G16" s="45">
        <f>G11+G12+G13+G14+G15</f>
        <v>73544.98000000001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21</v>
      </c>
      <c r="C18" s="96" t="s">
        <v>20</v>
      </c>
      <c r="D18" s="86"/>
      <c r="E18" s="87"/>
      <c r="F18" s="98">
        <v>10000</v>
      </c>
      <c r="G18" s="88"/>
      <c r="H18" s="86">
        <v>2015</v>
      </c>
      <c r="I18" s="87"/>
      <c r="J18" s="99" t="s">
        <v>3</v>
      </c>
      <c r="K18" s="100"/>
    </row>
    <row r="19" spans="1:11" ht="14.25" customHeight="1">
      <c r="A19" s="28">
        <v>2</v>
      </c>
      <c r="B19" s="168" t="s">
        <v>220</v>
      </c>
      <c r="C19" s="168" t="s">
        <v>219</v>
      </c>
      <c r="D19" s="151"/>
      <c r="E19" s="92"/>
      <c r="F19" s="172"/>
      <c r="G19" s="236">
        <v>189.42</v>
      </c>
      <c r="H19" s="147">
        <v>2015</v>
      </c>
      <c r="I19" s="92"/>
      <c r="J19" s="151" t="s">
        <v>3</v>
      </c>
      <c r="K19" s="180"/>
    </row>
    <row r="20" spans="1:11" ht="12.75">
      <c r="A20" s="29">
        <v>3</v>
      </c>
      <c r="B20" s="170"/>
      <c r="C20" s="170"/>
      <c r="D20" s="147"/>
      <c r="E20" s="147"/>
      <c r="F20" s="172"/>
      <c r="G20" s="144"/>
      <c r="H20" s="147"/>
      <c r="I20" s="147"/>
      <c r="J20" s="151"/>
      <c r="K20" s="178"/>
    </row>
    <row r="21" spans="1:11" ht="12.75">
      <c r="A21" s="29">
        <v>4</v>
      </c>
      <c r="B21" s="170"/>
      <c r="C21" s="170"/>
      <c r="D21" s="147"/>
      <c r="E21" s="147"/>
      <c r="F21" s="144"/>
      <c r="G21" s="144"/>
      <c r="H21" s="147"/>
      <c r="I21" s="147"/>
      <c r="J21" s="147"/>
      <c r="K21" s="179"/>
    </row>
    <row r="22" spans="1:11" ht="12.75">
      <c r="A22" s="29">
        <v>5</v>
      </c>
      <c r="B22" s="170"/>
      <c r="C22" s="170"/>
      <c r="D22" s="147"/>
      <c r="E22" s="147"/>
      <c r="F22" s="144"/>
      <c r="G22" s="144"/>
      <c r="H22" s="147"/>
      <c r="I22" s="147"/>
      <c r="J22" s="147"/>
      <c r="K22" s="179"/>
    </row>
    <row r="23" spans="1:11" ht="12.75">
      <c r="A23" s="29">
        <v>6</v>
      </c>
      <c r="B23" s="170"/>
      <c r="C23" s="170"/>
      <c r="D23" s="147"/>
      <c r="E23" s="147"/>
      <c r="F23" s="144"/>
      <c r="G23" s="144"/>
      <c r="H23" s="147"/>
      <c r="I23" s="147"/>
      <c r="J23" s="146"/>
      <c r="K23" s="179"/>
    </row>
    <row r="24" spans="1:11" ht="12.75">
      <c r="A24" s="28">
        <v>7</v>
      </c>
      <c r="B24" s="168"/>
      <c r="C24" s="143"/>
      <c r="D24" s="151"/>
      <c r="E24" s="92"/>
      <c r="F24" s="152"/>
      <c r="G24" s="160"/>
      <c r="H24" s="92"/>
      <c r="I24" s="92"/>
      <c r="J24" s="151"/>
      <c r="K24" s="180"/>
    </row>
    <row r="25" spans="1:11" ht="12.75">
      <c r="A25" s="28">
        <v>8</v>
      </c>
      <c r="B25" s="145"/>
      <c r="C25" s="167"/>
      <c r="D25" s="146"/>
      <c r="E25" s="147"/>
      <c r="F25" s="148"/>
      <c r="G25" s="144"/>
      <c r="H25" s="147"/>
      <c r="I25" s="147"/>
      <c r="J25" s="151"/>
      <c r="K25" s="180"/>
    </row>
    <row r="26" spans="1:11" ht="12.75">
      <c r="A26" s="120">
        <v>9</v>
      </c>
      <c r="B26" s="145"/>
      <c r="C26" s="167"/>
      <c r="D26" s="146"/>
      <c r="E26" s="147"/>
      <c r="F26" s="148"/>
      <c r="G26" s="144"/>
      <c r="H26" s="147"/>
      <c r="I26" s="147"/>
      <c r="J26" s="146"/>
      <c r="K26" s="180"/>
    </row>
    <row r="27" spans="1:11" ht="12.75">
      <c r="A27" s="28">
        <v>10</v>
      </c>
      <c r="B27" s="145"/>
      <c r="C27" s="167"/>
      <c r="D27" s="146"/>
      <c r="E27" s="147"/>
      <c r="F27" s="148"/>
      <c r="G27" s="144"/>
      <c r="H27" s="147"/>
      <c r="I27" s="147"/>
      <c r="J27" s="146"/>
      <c r="K27" s="180"/>
    </row>
    <row r="28" spans="1:11" ht="12.75">
      <c r="A28" s="28">
        <v>11</v>
      </c>
      <c r="B28" s="145"/>
      <c r="C28" s="167"/>
      <c r="D28" s="146"/>
      <c r="E28" s="147"/>
      <c r="F28" s="148"/>
      <c r="G28" s="144"/>
      <c r="H28" s="147"/>
      <c r="I28" s="147"/>
      <c r="J28" s="146"/>
      <c r="K28" s="180"/>
    </row>
    <row r="29" spans="1:11" ht="12.75">
      <c r="A29" s="207">
        <v>12</v>
      </c>
      <c r="B29" s="145"/>
      <c r="C29" s="167"/>
      <c r="D29" s="146"/>
      <c r="E29" s="147"/>
      <c r="F29" s="148"/>
      <c r="G29" s="144"/>
      <c r="H29" s="147"/>
      <c r="I29" s="147"/>
      <c r="J29" s="146"/>
      <c r="K29" s="180"/>
    </row>
    <row r="30" spans="1:11" ht="12.75">
      <c r="A30" s="28">
        <v>13</v>
      </c>
      <c r="B30" s="145"/>
      <c r="C30" s="167"/>
      <c r="D30" s="146"/>
      <c r="E30" s="147"/>
      <c r="F30" s="148"/>
      <c r="G30" s="144"/>
      <c r="H30" s="147"/>
      <c r="I30" s="147"/>
      <c r="J30" s="146"/>
      <c r="K30" s="180"/>
    </row>
    <row r="31" spans="1:11" ht="12.75">
      <c r="A31" s="207">
        <v>14</v>
      </c>
      <c r="B31" s="145"/>
      <c r="C31" s="167"/>
      <c r="D31" s="146"/>
      <c r="E31" s="147"/>
      <c r="F31" s="148"/>
      <c r="G31" s="144"/>
      <c r="H31" s="147"/>
      <c r="I31" s="147"/>
      <c r="J31" s="146"/>
      <c r="K31" s="180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10000</v>
      </c>
      <c r="G36" s="44">
        <f>SUM(G18:G34)</f>
        <v>189.42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v>0</v>
      </c>
      <c r="G37" s="42"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10000</v>
      </c>
      <c r="G38" s="42">
        <f>G36-G37</f>
        <v>189.42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52632</v>
      </c>
      <c r="G39" s="46">
        <f>G16-G36</f>
        <v>73355.56000000001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106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9:E39"/>
    <mergeCell ref="H39:J39"/>
    <mergeCell ref="B37:E37"/>
    <mergeCell ref="H37:J37"/>
    <mergeCell ref="B38:E38"/>
    <mergeCell ref="H38:J38"/>
    <mergeCell ref="A16:E16"/>
    <mergeCell ref="H16:J16"/>
    <mergeCell ref="A36:E36"/>
    <mergeCell ref="H36:J36"/>
    <mergeCell ref="A15:E15"/>
    <mergeCell ref="H15:J15"/>
    <mergeCell ref="A14:E14"/>
    <mergeCell ref="H14:J14"/>
    <mergeCell ref="A11:E11"/>
    <mergeCell ref="H11:J11"/>
    <mergeCell ref="A12:E12"/>
    <mergeCell ref="H12:J12"/>
    <mergeCell ref="G6:G7"/>
    <mergeCell ref="H6:H7"/>
    <mergeCell ref="K6:K7"/>
    <mergeCell ref="A9:K9"/>
    <mergeCell ref="A13:E13"/>
    <mergeCell ref="H13:J13"/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J6:J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20">
      <selection activeCell="A4" sqref="A4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76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26</v>
      </c>
      <c r="D10" s="17">
        <v>160</v>
      </c>
      <c r="E10" s="18" t="s">
        <v>28</v>
      </c>
      <c r="F10" s="19"/>
      <c r="G10" s="127"/>
      <c r="H10" s="11" t="s">
        <v>8</v>
      </c>
      <c r="I10" s="123">
        <f>F12/D10/12</f>
        <v>7.8125</v>
      </c>
      <c r="J10" s="13" t="s">
        <v>29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50000</v>
      </c>
      <c r="G11" s="44">
        <v>65421.78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15000</f>
        <v>15000</v>
      </c>
      <c r="G12" s="41">
        <v>22675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/>
      <c r="H13" s="274"/>
      <c r="I13" s="275"/>
      <c r="J13" s="275"/>
      <c r="K13" s="53"/>
    </row>
    <row r="14" spans="1:11" s="40" customFormat="1" ht="12.75" customHeight="1">
      <c r="A14" s="276" t="s">
        <v>77</v>
      </c>
      <c r="B14" s="277"/>
      <c r="C14" s="277"/>
      <c r="D14" s="277"/>
      <c r="E14" s="277"/>
      <c r="F14" s="41">
        <v>7680</v>
      </c>
      <c r="G14" s="41"/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/>
      <c r="H15" s="274"/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72680</v>
      </c>
      <c r="G16" s="45">
        <f>G11+G12+G13+G14+G15</f>
        <v>88096.78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19</v>
      </c>
      <c r="C18" s="96" t="s">
        <v>20</v>
      </c>
      <c r="D18" s="86"/>
      <c r="E18" s="87"/>
      <c r="F18" s="98">
        <v>10000</v>
      </c>
      <c r="G18" s="88"/>
      <c r="H18" s="86">
        <v>2015</v>
      </c>
      <c r="I18" s="87"/>
      <c r="J18" s="99" t="s">
        <v>3</v>
      </c>
      <c r="K18" s="100"/>
    </row>
    <row r="19" spans="1:11" ht="14.25" customHeight="1">
      <c r="A19" s="28">
        <v>2</v>
      </c>
      <c r="B19" s="168" t="s">
        <v>230</v>
      </c>
      <c r="C19" s="168" t="s">
        <v>229</v>
      </c>
      <c r="D19" s="151"/>
      <c r="E19" s="92"/>
      <c r="F19" s="172"/>
      <c r="G19" s="236">
        <v>189.42</v>
      </c>
      <c r="H19" s="147">
        <v>2015</v>
      </c>
      <c r="I19" s="92"/>
      <c r="J19" s="151" t="s">
        <v>3</v>
      </c>
      <c r="K19" s="180"/>
    </row>
    <row r="20" spans="1:11" ht="12.75">
      <c r="A20" s="29">
        <v>3</v>
      </c>
      <c r="B20" s="170"/>
      <c r="C20" s="170"/>
      <c r="D20" s="147"/>
      <c r="E20" s="147"/>
      <c r="F20" s="172"/>
      <c r="G20" s="144"/>
      <c r="H20" s="147"/>
      <c r="I20" s="147"/>
      <c r="J20" s="151"/>
      <c r="K20" s="178"/>
    </row>
    <row r="21" spans="1:11" ht="12.75">
      <c r="A21" s="29">
        <v>4</v>
      </c>
      <c r="B21" s="170"/>
      <c r="C21" s="170"/>
      <c r="D21" s="147"/>
      <c r="E21" s="147"/>
      <c r="F21" s="144"/>
      <c r="G21" s="144"/>
      <c r="H21" s="147"/>
      <c r="I21" s="147"/>
      <c r="J21" s="147"/>
      <c r="K21" s="179"/>
    </row>
    <row r="22" spans="1:11" ht="12.75">
      <c r="A22" s="29">
        <v>5</v>
      </c>
      <c r="B22" s="170"/>
      <c r="C22" s="170"/>
      <c r="D22" s="147"/>
      <c r="E22" s="147"/>
      <c r="F22" s="144"/>
      <c r="G22" s="144"/>
      <c r="H22" s="147"/>
      <c r="I22" s="147"/>
      <c r="J22" s="147"/>
      <c r="K22" s="179"/>
    </row>
    <row r="23" spans="1:11" ht="12.75">
      <c r="A23" s="29">
        <v>6</v>
      </c>
      <c r="B23" s="170"/>
      <c r="C23" s="170"/>
      <c r="D23" s="147"/>
      <c r="E23" s="147"/>
      <c r="F23" s="144"/>
      <c r="G23" s="144"/>
      <c r="H23" s="147"/>
      <c r="I23" s="147"/>
      <c r="J23" s="146"/>
      <c r="K23" s="179"/>
    </row>
    <row r="24" spans="1:11" ht="12.75">
      <c r="A24" s="28">
        <v>7</v>
      </c>
      <c r="B24" s="168"/>
      <c r="C24" s="143"/>
      <c r="D24" s="151"/>
      <c r="E24" s="92"/>
      <c r="F24" s="152"/>
      <c r="G24" s="160"/>
      <c r="H24" s="92"/>
      <c r="I24" s="92"/>
      <c r="J24" s="151"/>
      <c r="K24" s="180"/>
    </row>
    <row r="25" spans="1:11" ht="12.75">
      <c r="A25" s="28">
        <v>8</v>
      </c>
      <c r="B25" s="145"/>
      <c r="C25" s="167"/>
      <c r="D25" s="146"/>
      <c r="E25" s="147"/>
      <c r="F25" s="148"/>
      <c r="G25" s="144"/>
      <c r="H25" s="147"/>
      <c r="I25" s="147"/>
      <c r="J25" s="151"/>
      <c r="K25" s="180"/>
    </row>
    <row r="26" spans="1:11" ht="12.75">
      <c r="A26" s="28"/>
      <c r="B26" s="145"/>
      <c r="C26" s="167"/>
      <c r="D26" s="146"/>
      <c r="E26" s="147"/>
      <c r="F26" s="148"/>
      <c r="G26" s="144"/>
      <c r="H26" s="147"/>
      <c r="I26" s="147"/>
      <c r="J26" s="146"/>
      <c r="K26" s="180"/>
    </row>
    <row r="27" spans="1:11" ht="12.75">
      <c r="A27" s="28"/>
      <c r="B27" s="145"/>
      <c r="C27" s="167"/>
      <c r="D27" s="146"/>
      <c r="E27" s="147"/>
      <c r="F27" s="148"/>
      <c r="G27" s="144"/>
      <c r="H27" s="147"/>
      <c r="I27" s="147"/>
      <c r="J27" s="146"/>
      <c r="K27" s="180"/>
    </row>
    <row r="28" spans="1:11" ht="12.75">
      <c r="A28" s="28"/>
      <c r="B28" s="145"/>
      <c r="C28" s="167"/>
      <c r="D28" s="146"/>
      <c r="E28" s="147"/>
      <c r="F28" s="148"/>
      <c r="G28" s="144"/>
      <c r="H28" s="147"/>
      <c r="I28" s="147"/>
      <c r="J28" s="146"/>
      <c r="K28" s="180"/>
    </row>
    <row r="29" spans="1:11" ht="12.75">
      <c r="A29" s="28"/>
      <c r="B29" s="145"/>
      <c r="C29" s="167"/>
      <c r="D29" s="146"/>
      <c r="E29" s="147"/>
      <c r="F29" s="148"/>
      <c r="G29" s="144"/>
      <c r="H29" s="147"/>
      <c r="I29" s="147"/>
      <c r="J29" s="146"/>
      <c r="K29" s="180"/>
    </row>
    <row r="30" spans="1:11" ht="12.75">
      <c r="A30" s="28"/>
      <c r="B30" s="145"/>
      <c r="C30" s="167"/>
      <c r="D30" s="146"/>
      <c r="E30" s="147"/>
      <c r="F30" s="148"/>
      <c r="G30" s="144"/>
      <c r="H30" s="147"/>
      <c r="I30" s="147"/>
      <c r="J30" s="146"/>
      <c r="K30" s="180"/>
    </row>
    <row r="31" spans="1:11" ht="12.75">
      <c r="A31" s="28"/>
      <c r="B31" s="145"/>
      <c r="C31" s="167"/>
      <c r="D31" s="146"/>
      <c r="E31" s="147"/>
      <c r="F31" s="148"/>
      <c r="G31" s="144"/>
      <c r="H31" s="147"/>
      <c r="I31" s="147"/>
      <c r="J31" s="146"/>
      <c r="K31" s="180"/>
    </row>
    <row r="32" spans="1:11" ht="12.75">
      <c r="A32" s="28">
        <v>9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10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11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10000</v>
      </c>
      <c r="G36" s="44">
        <f>SUM(G18:G34)</f>
        <v>189.42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v>0</v>
      </c>
      <c r="G37" s="42"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10000</v>
      </c>
      <c r="G38" s="42">
        <f>G36-G37</f>
        <v>189.42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62680</v>
      </c>
      <c r="G39" s="46">
        <f>G16-G36</f>
        <v>87907.36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107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9:K9"/>
    <mergeCell ref="A11:E11"/>
    <mergeCell ref="H11:J11"/>
    <mergeCell ref="A12:E12"/>
    <mergeCell ref="H12:J12"/>
    <mergeCell ref="A13:E13"/>
    <mergeCell ref="H13:J13"/>
    <mergeCell ref="A14:E14"/>
    <mergeCell ref="H14:J14"/>
    <mergeCell ref="A15:E15"/>
    <mergeCell ref="H15:J15"/>
    <mergeCell ref="A16:E16"/>
    <mergeCell ref="H16:J16"/>
    <mergeCell ref="A36:E36"/>
    <mergeCell ref="H36:J36"/>
    <mergeCell ref="B38:E38"/>
    <mergeCell ref="H38:J38"/>
    <mergeCell ref="A39:E39"/>
    <mergeCell ref="H39:J39"/>
    <mergeCell ref="B37:E37"/>
    <mergeCell ref="H37:J37"/>
  </mergeCells>
  <printOptions horizontalCentered="1"/>
  <pageMargins left="0" right="0" top="0" bottom="0" header="0" footer="0"/>
  <pageSetup horizontalDpi="600" verticalDpi="600" orientation="landscape" paperSize="9" scale="105" r:id="rId1"/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5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45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17</v>
      </c>
      <c r="D10" s="17">
        <v>28443.63</v>
      </c>
      <c r="E10" s="18" t="s">
        <v>6</v>
      </c>
      <c r="F10" s="19"/>
      <c r="G10" s="127"/>
      <c r="H10" s="11" t="s">
        <v>8</v>
      </c>
      <c r="I10" s="12">
        <v>1.5</v>
      </c>
      <c r="J10" s="13" t="s">
        <v>7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-80000</v>
      </c>
      <c r="G11" s="44">
        <v>31737.42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D10*I10*12</f>
        <v>511985.33999999997</v>
      </c>
      <c r="G12" s="41">
        <f>49573.8+96089.4+129695.4+97110+69413.4+70515.54</f>
        <v>512397.54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/>
      <c r="H13" s="274"/>
      <c r="I13" s="275"/>
      <c r="J13" s="275"/>
      <c r="K13" s="53"/>
    </row>
    <row r="14" spans="1:11" s="40" customFormat="1" ht="12.75" customHeight="1">
      <c r="A14" s="276" t="s">
        <v>43</v>
      </c>
      <c r="B14" s="277"/>
      <c r="C14" s="277"/>
      <c r="D14" s="277"/>
      <c r="E14" s="277"/>
      <c r="F14" s="41">
        <v>0</v>
      </c>
      <c r="G14" s="41"/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>
        <f>7676.23+14878.91+20082.61+15036.94+10748.28+10918.94</f>
        <v>79341.91</v>
      </c>
      <c r="H15" s="294" t="s">
        <v>264</v>
      </c>
      <c r="I15" s="295"/>
      <c r="J15" s="29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431985.33999999997</v>
      </c>
      <c r="G16" s="45">
        <f>G11+G12+G13+G14+G15</f>
        <v>623476.87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68" t="s">
        <v>144</v>
      </c>
      <c r="C18" s="68" t="s">
        <v>111</v>
      </c>
      <c r="D18" s="69" t="s">
        <v>118</v>
      </c>
      <c r="E18" s="68"/>
      <c r="F18" s="70">
        <v>70000</v>
      </c>
      <c r="G18" s="229">
        <f>9289.35+22925.9+12608.3+12176.3</f>
        <v>56999.850000000006</v>
      </c>
      <c r="H18" s="87" t="s">
        <v>276</v>
      </c>
      <c r="I18" s="87"/>
      <c r="J18" s="86" t="s">
        <v>3</v>
      </c>
      <c r="K18" s="133"/>
    </row>
    <row r="19" spans="1:11" ht="12.75">
      <c r="A19" s="28">
        <v>2</v>
      </c>
      <c r="B19" s="129" t="s">
        <v>149</v>
      </c>
      <c r="C19" s="52" t="s">
        <v>148</v>
      </c>
      <c r="D19" s="81" t="s">
        <v>150</v>
      </c>
      <c r="E19" s="130"/>
      <c r="F19" s="131">
        <v>120000</v>
      </c>
      <c r="G19" s="230">
        <f>19116.56+42999.99+25693.2+40169.88</f>
        <v>127979.63</v>
      </c>
      <c r="H19" s="82" t="s">
        <v>279</v>
      </c>
      <c r="I19" s="130"/>
      <c r="J19" s="81" t="s">
        <v>3</v>
      </c>
      <c r="K19" s="227" t="s">
        <v>271</v>
      </c>
    </row>
    <row r="20" spans="1:11" ht="12.75">
      <c r="A20" s="28">
        <v>3</v>
      </c>
      <c r="B20" s="129" t="s">
        <v>122</v>
      </c>
      <c r="C20" s="51" t="s">
        <v>120</v>
      </c>
      <c r="D20" s="34" t="s">
        <v>121</v>
      </c>
      <c r="E20" s="4"/>
      <c r="F20" s="63">
        <v>100000</v>
      </c>
      <c r="G20" s="231">
        <f>9747.75+872.87+1230+7380+1230</f>
        <v>20460.620000000003</v>
      </c>
      <c r="H20" s="4">
        <v>2015</v>
      </c>
      <c r="I20" s="4"/>
      <c r="J20" s="34" t="s">
        <v>3</v>
      </c>
      <c r="K20" s="32"/>
    </row>
    <row r="21" spans="1:11" ht="12.75">
      <c r="A21" s="28">
        <v>4</v>
      </c>
      <c r="B21" s="50" t="s">
        <v>137</v>
      </c>
      <c r="C21" s="22" t="s">
        <v>109</v>
      </c>
      <c r="D21" s="2" t="s">
        <v>138</v>
      </c>
      <c r="E21" s="2"/>
      <c r="F21" s="3">
        <f>75*1005</f>
        <v>75375</v>
      </c>
      <c r="G21" s="232">
        <f>41490.9+24345.9</f>
        <v>65836.8</v>
      </c>
      <c r="H21" s="2" t="s">
        <v>276</v>
      </c>
      <c r="I21" s="2"/>
      <c r="J21" s="2" t="s">
        <v>3</v>
      </c>
      <c r="K21" s="24"/>
    </row>
    <row r="22" spans="1:11" ht="12.75">
      <c r="A22" s="28">
        <v>5</v>
      </c>
      <c r="B22" s="50" t="s">
        <v>139</v>
      </c>
      <c r="C22" s="22" t="s">
        <v>140</v>
      </c>
      <c r="D22" s="34" t="s">
        <v>143</v>
      </c>
      <c r="E22" s="4"/>
      <c r="F22" s="63">
        <v>80000</v>
      </c>
      <c r="G22" s="231">
        <f>546.12+27891.65+81600</f>
        <v>110037.77</v>
      </c>
      <c r="H22" s="4" t="s">
        <v>277</v>
      </c>
      <c r="I22" s="4"/>
      <c r="J22" s="25" t="s">
        <v>3</v>
      </c>
      <c r="K22" s="65"/>
    </row>
    <row r="23" spans="1:11" ht="12.75">
      <c r="A23" s="28">
        <v>6</v>
      </c>
      <c r="B23" s="145"/>
      <c r="C23" s="30" t="s">
        <v>20</v>
      </c>
      <c r="D23" s="146"/>
      <c r="E23" s="147"/>
      <c r="F23" s="63">
        <v>15000</v>
      </c>
      <c r="G23" s="233"/>
      <c r="H23" s="4">
        <v>2015</v>
      </c>
      <c r="I23" s="4"/>
      <c r="J23" s="34" t="s">
        <v>4</v>
      </c>
      <c r="K23" s="24"/>
    </row>
    <row r="24" spans="1:11" s="121" customFormat="1" ht="12.75">
      <c r="A24" s="122">
        <v>7</v>
      </c>
      <c r="B24" s="149" t="s">
        <v>159</v>
      </c>
      <c r="C24" s="150" t="s">
        <v>207</v>
      </c>
      <c r="D24" s="146" t="s">
        <v>121</v>
      </c>
      <c r="E24" s="147"/>
      <c r="F24" s="148"/>
      <c r="G24" s="233">
        <f>5502.6+5205.6</f>
        <v>10708.2</v>
      </c>
      <c r="H24" s="147" t="s">
        <v>276</v>
      </c>
      <c r="I24" s="4"/>
      <c r="J24" s="146" t="s">
        <v>3</v>
      </c>
      <c r="K24" s="118"/>
    </row>
    <row r="25" spans="1:11" s="121" customFormat="1" ht="12.75">
      <c r="A25" s="120">
        <v>8</v>
      </c>
      <c r="B25" s="149" t="s">
        <v>22</v>
      </c>
      <c r="C25" s="150" t="s">
        <v>274</v>
      </c>
      <c r="D25" s="151"/>
      <c r="E25" s="92"/>
      <c r="F25" s="152"/>
      <c r="G25" s="234">
        <f>869.4+1738.8+496.4+869.4</f>
        <v>3974</v>
      </c>
      <c r="H25" s="147">
        <v>2015</v>
      </c>
      <c r="I25" s="66"/>
      <c r="J25" s="146" t="s">
        <v>3</v>
      </c>
      <c r="K25" s="118"/>
    </row>
    <row r="26" spans="1:11" s="121" customFormat="1" ht="12.75">
      <c r="A26" s="120">
        <v>9</v>
      </c>
      <c r="B26" s="149" t="s">
        <v>158</v>
      </c>
      <c r="C26" s="143" t="s">
        <v>161</v>
      </c>
      <c r="D26" s="153"/>
      <c r="E26" s="153"/>
      <c r="F26" s="152"/>
      <c r="G26" s="235">
        <v>17793.14</v>
      </c>
      <c r="H26" s="147" t="s">
        <v>277</v>
      </c>
      <c r="I26" s="66"/>
      <c r="J26" s="151" t="s">
        <v>3</v>
      </c>
      <c r="K26" s="118"/>
    </row>
    <row r="27" spans="1:11" ht="12.75">
      <c r="A27" s="28">
        <v>10</v>
      </c>
      <c r="B27" s="154" t="s">
        <v>162</v>
      </c>
      <c r="C27" s="143" t="s">
        <v>275</v>
      </c>
      <c r="D27" s="153"/>
      <c r="E27" s="153"/>
      <c r="F27" s="152"/>
      <c r="G27" s="235">
        <f>23603.3</f>
        <v>23603.3</v>
      </c>
      <c r="H27" s="147" t="s">
        <v>277</v>
      </c>
      <c r="I27" s="66"/>
      <c r="J27" s="173" t="s">
        <v>3</v>
      </c>
      <c r="K27" s="208"/>
    </row>
    <row r="28" spans="1:11" ht="12.75">
      <c r="A28" s="28">
        <v>11</v>
      </c>
      <c r="B28" s="154" t="s">
        <v>22</v>
      </c>
      <c r="C28" s="167" t="s">
        <v>203</v>
      </c>
      <c r="D28" s="153"/>
      <c r="E28" s="153"/>
      <c r="F28" s="148"/>
      <c r="G28" s="235">
        <f>10324.12+589.62</f>
        <v>10913.740000000002</v>
      </c>
      <c r="H28" s="147">
        <v>2015</v>
      </c>
      <c r="I28" s="66"/>
      <c r="J28" s="173" t="s">
        <v>4</v>
      </c>
      <c r="K28" s="208"/>
    </row>
    <row r="29" spans="1:11" ht="12.75">
      <c r="A29" s="207">
        <v>12</v>
      </c>
      <c r="B29" s="154" t="s">
        <v>204</v>
      </c>
      <c r="C29" s="167" t="s">
        <v>205</v>
      </c>
      <c r="D29" s="153" t="s">
        <v>206</v>
      </c>
      <c r="E29" s="153"/>
      <c r="F29" s="148"/>
      <c r="G29" s="235">
        <v>16698.96</v>
      </c>
      <c r="H29" s="147" t="s">
        <v>278</v>
      </c>
      <c r="I29" s="66"/>
      <c r="J29" s="173" t="s">
        <v>3</v>
      </c>
      <c r="K29" s="208"/>
    </row>
    <row r="30" spans="1:11" ht="12.75">
      <c r="A30" s="28">
        <v>13</v>
      </c>
      <c r="B30" s="168" t="s">
        <v>162</v>
      </c>
      <c r="C30" s="150" t="s">
        <v>163</v>
      </c>
      <c r="D30" s="151" t="s">
        <v>164</v>
      </c>
      <c r="E30" s="92"/>
      <c r="F30" s="152"/>
      <c r="G30" s="236">
        <f>280678.88</f>
        <v>280678.88</v>
      </c>
      <c r="H30" s="92">
        <v>2014</v>
      </c>
      <c r="I30" s="92"/>
      <c r="J30" s="151" t="s">
        <v>3</v>
      </c>
      <c r="K30" s="225" t="s">
        <v>165</v>
      </c>
    </row>
    <row r="31" spans="1:11" ht="12.75">
      <c r="A31" s="207">
        <v>14</v>
      </c>
      <c r="B31" s="223" t="s">
        <v>269</v>
      </c>
      <c r="C31" s="224" t="s">
        <v>270</v>
      </c>
      <c r="D31" s="191"/>
      <c r="E31" s="191"/>
      <c r="F31" s="165"/>
      <c r="G31" s="237">
        <v>38130</v>
      </c>
      <c r="H31" s="147" t="s">
        <v>277</v>
      </c>
      <c r="I31" s="115"/>
      <c r="J31" s="193" t="s">
        <v>3</v>
      </c>
      <c r="K31" s="118"/>
    </row>
    <row r="32" spans="1:11" ht="12.75">
      <c r="A32" s="28">
        <v>15</v>
      </c>
      <c r="B32" s="154" t="s">
        <v>22</v>
      </c>
      <c r="C32" s="167" t="s">
        <v>272</v>
      </c>
      <c r="D32" s="153"/>
      <c r="E32" s="153"/>
      <c r="F32" s="148"/>
      <c r="G32" s="235">
        <f>2681.4+676.6</f>
        <v>3358</v>
      </c>
      <c r="H32" s="147">
        <v>2015</v>
      </c>
      <c r="I32" s="66"/>
      <c r="J32" s="173" t="s">
        <v>3</v>
      </c>
      <c r="K32" s="208"/>
    </row>
    <row r="33" spans="1:11" ht="12.75">
      <c r="A33" s="28">
        <v>16</v>
      </c>
      <c r="B33" s="228" t="s">
        <v>158</v>
      </c>
      <c r="C33" s="167" t="s">
        <v>273</v>
      </c>
      <c r="D33" s="153"/>
      <c r="E33" s="153"/>
      <c r="F33" s="148"/>
      <c r="G33" s="235">
        <f>4320+1229.99</f>
        <v>5549.99</v>
      </c>
      <c r="H33" s="147" t="s">
        <v>277</v>
      </c>
      <c r="I33" s="66"/>
      <c r="J33" s="173" t="s">
        <v>3</v>
      </c>
      <c r="K33" s="208"/>
    </row>
    <row r="34" spans="1:11" ht="13.5" thickBot="1">
      <c r="A34" s="101">
        <v>17</v>
      </c>
      <c r="B34" s="155" t="s">
        <v>22</v>
      </c>
      <c r="C34" s="156" t="s">
        <v>214</v>
      </c>
      <c r="D34" s="157"/>
      <c r="E34" s="158"/>
      <c r="F34" s="159"/>
      <c r="G34" s="238">
        <f>216+1229.99+2581.2+166.87+950.4+179.99+486+166.87+3985.2</f>
        <v>9962.519999999999</v>
      </c>
      <c r="H34" s="158">
        <v>2015</v>
      </c>
      <c r="I34" s="158"/>
      <c r="J34" s="157" t="s">
        <v>3</v>
      </c>
      <c r="K34" s="177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460375</v>
      </c>
      <c r="G36" s="44">
        <f>SUM(G18:G34)</f>
        <v>802685.4000000001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f>F23+F22</f>
        <v>95000</v>
      </c>
      <c r="G37" s="42">
        <f>G28</f>
        <v>10913.740000000002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365375</v>
      </c>
      <c r="G38" s="42">
        <f>G36-G37</f>
        <v>791771.6600000001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-28389.660000000033</v>
      </c>
      <c r="G39" s="46">
        <f>G16-G36</f>
        <v>-179208.53000000014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89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9:E39"/>
    <mergeCell ref="H39:J39"/>
    <mergeCell ref="A14:E14"/>
    <mergeCell ref="H14:J14"/>
    <mergeCell ref="H38:J38"/>
    <mergeCell ref="H37:J37"/>
    <mergeCell ref="B37:E37"/>
    <mergeCell ref="B38:E38"/>
    <mergeCell ref="H16:J16"/>
    <mergeCell ref="H36:J36"/>
    <mergeCell ref="I6:I7"/>
    <mergeCell ref="A36:E36"/>
    <mergeCell ref="H6:H7"/>
    <mergeCell ref="A12:E12"/>
    <mergeCell ref="H12:J12"/>
    <mergeCell ref="A15:E15"/>
    <mergeCell ref="A11:E11"/>
    <mergeCell ref="A16:E16"/>
    <mergeCell ref="A3:K3"/>
    <mergeCell ref="A4:K4"/>
    <mergeCell ref="A9:K9"/>
    <mergeCell ref="B6:B7"/>
    <mergeCell ref="C6:C7"/>
    <mergeCell ref="J6:J7"/>
    <mergeCell ref="A13:E13"/>
    <mergeCell ref="H15:J15"/>
    <mergeCell ref="A6:A7"/>
    <mergeCell ref="E6:E7"/>
    <mergeCell ref="D6:D7"/>
    <mergeCell ref="K6:K7"/>
    <mergeCell ref="G6:G7"/>
    <mergeCell ref="F6:F7"/>
    <mergeCell ref="H11:J11"/>
    <mergeCell ref="H13:J13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3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46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17</v>
      </c>
      <c r="D10" s="17">
        <v>8881.03</v>
      </c>
      <c r="E10" s="18" t="s">
        <v>6</v>
      </c>
      <c r="F10" s="19"/>
      <c r="G10" s="127"/>
      <c r="H10" s="11" t="s">
        <v>8</v>
      </c>
      <c r="I10" s="12">
        <v>1.3</v>
      </c>
      <c r="J10" s="13" t="s">
        <v>7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50000</v>
      </c>
      <c r="G11" s="44">
        <v>63656.31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D10*I10*12</f>
        <v>138544.06800000003</v>
      </c>
      <c r="G12" s="41">
        <f>30142.63+52724.88+55676.56</f>
        <v>138544.07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>
        <v>0</v>
      </c>
      <c r="H13" s="274"/>
      <c r="I13" s="275"/>
      <c r="J13" s="275"/>
      <c r="K13" s="53"/>
    </row>
    <row r="14" spans="1:11" s="40" customFormat="1" ht="12.75" customHeight="1">
      <c r="A14" s="276" t="s">
        <v>39</v>
      </c>
      <c r="B14" s="277"/>
      <c r="C14" s="277"/>
      <c r="D14" s="277"/>
      <c r="E14" s="277"/>
      <c r="F14" s="41">
        <v>0</v>
      </c>
      <c r="G14" s="41">
        <v>0</v>
      </c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>
        <f>5385.43+9420.18+9947.54</f>
        <v>24753.15</v>
      </c>
      <c r="H15" s="274" t="s">
        <v>264</v>
      </c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188544.06800000003</v>
      </c>
      <c r="G16" s="45">
        <f>G11+G12+G13+G14+G15</f>
        <v>226953.53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1">
        <v>1</v>
      </c>
      <c r="B18" s="94"/>
      <c r="C18" s="68" t="s">
        <v>20</v>
      </c>
      <c r="D18" s="86"/>
      <c r="E18" s="89"/>
      <c r="F18" s="95">
        <v>20000</v>
      </c>
      <c r="G18" s="95"/>
      <c r="H18" s="89">
        <v>2015</v>
      </c>
      <c r="I18" s="89"/>
      <c r="J18" s="86" t="s">
        <v>4</v>
      </c>
      <c r="K18" s="112"/>
    </row>
    <row r="19" spans="1:11" ht="12.75">
      <c r="A19" s="29">
        <v>2</v>
      </c>
      <c r="B19" s="150" t="s">
        <v>168</v>
      </c>
      <c r="C19" s="170" t="s">
        <v>200</v>
      </c>
      <c r="D19" s="92"/>
      <c r="E19" s="92"/>
      <c r="F19" s="160"/>
      <c r="G19" s="236">
        <v>9774.35</v>
      </c>
      <c r="H19" s="147" t="s">
        <v>277</v>
      </c>
      <c r="I19" s="147"/>
      <c r="J19" s="151" t="s">
        <v>3</v>
      </c>
      <c r="K19" s="179"/>
    </row>
    <row r="20" spans="1:11" ht="12.75">
      <c r="A20" s="29">
        <v>3</v>
      </c>
      <c r="B20" s="170" t="s">
        <v>172</v>
      </c>
      <c r="C20" s="150" t="s">
        <v>169</v>
      </c>
      <c r="D20" s="147"/>
      <c r="E20" s="147"/>
      <c r="F20" s="144"/>
      <c r="G20" s="233">
        <f>486+4396.8</f>
        <v>4882.8</v>
      </c>
      <c r="H20" s="147">
        <v>2015</v>
      </c>
      <c r="I20" s="147"/>
      <c r="J20" s="151" t="s">
        <v>3</v>
      </c>
      <c r="K20" s="178"/>
    </row>
    <row r="21" spans="1:11" ht="12.75">
      <c r="A21" s="28">
        <v>4</v>
      </c>
      <c r="B21" s="145" t="s">
        <v>171</v>
      </c>
      <c r="C21" s="150" t="s">
        <v>170</v>
      </c>
      <c r="D21" s="147"/>
      <c r="E21" s="147"/>
      <c r="F21" s="144"/>
      <c r="G21" s="233">
        <v>8253.07</v>
      </c>
      <c r="H21" s="147" t="s">
        <v>277</v>
      </c>
      <c r="I21" s="147"/>
      <c r="J21" s="151" t="s">
        <v>3</v>
      </c>
      <c r="K21" s="180"/>
    </row>
    <row r="22" spans="1:11" ht="12.75">
      <c r="A22" s="28">
        <v>5</v>
      </c>
      <c r="B22" s="145" t="s">
        <v>171</v>
      </c>
      <c r="C22" s="150" t="s">
        <v>160</v>
      </c>
      <c r="D22" s="147"/>
      <c r="E22" s="147"/>
      <c r="F22" s="144"/>
      <c r="G22" s="233">
        <v>1863.4</v>
      </c>
      <c r="H22" s="147">
        <v>2015</v>
      </c>
      <c r="I22" s="147"/>
      <c r="J22" s="146" t="s">
        <v>3</v>
      </c>
      <c r="K22" s="181"/>
    </row>
    <row r="23" spans="1:11" ht="12.75">
      <c r="A23" s="28">
        <v>6</v>
      </c>
      <c r="B23" s="168" t="s">
        <v>171</v>
      </c>
      <c r="C23" s="150" t="s">
        <v>280</v>
      </c>
      <c r="D23" s="92"/>
      <c r="E23" s="92"/>
      <c r="F23" s="160"/>
      <c r="G23" s="236">
        <v>3780</v>
      </c>
      <c r="H23" s="92">
        <v>2015</v>
      </c>
      <c r="I23" s="92"/>
      <c r="J23" s="151" t="s">
        <v>3</v>
      </c>
      <c r="K23" s="180"/>
    </row>
    <row r="24" spans="1:11" ht="12.75">
      <c r="A24" s="80">
        <v>7</v>
      </c>
      <c r="B24" s="168"/>
      <c r="C24" s="161"/>
      <c r="D24" s="163"/>
      <c r="E24" s="164"/>
      <c r="F24" s="165"/>
      <c r="G24" s="166"/>
      <c r="H24" s="164"/>
      <c r="I24" s="164"/>
      <c r="J24" s="151"/>
      <c r="K24" s="183"/>
    </row>
    <row r="25" spans="1:11" ht="12.75">
      <c r="A25" s="28">
        <v>8</v>
      </c>
      <c r="B25" s="145"/>
      <c r="C25" s="167"/>
      <c r="D25" s="146"/>
      <c r="E25" s="147"/>
      <c r="F25" s="148"/>
      <c r="G25" s="144"/>
      <c r="H25" s="147"/>
      <c r="I25" s="147"/>
      <c r="J25" s="151"/>
      <c r="K25" s="180"/>
    </row>
    <row r="26" spans="1:11" ht="12.75">
      <c r="A26" s="120">
        <v>9</v>
      </c>
      <c r="B26" s="145"/>
      <c r="C26" s="167"/>
      <c r="D26" s="146"/>
      <c r="E26" s="147"/>
      <c r="F26" s="148"/>
      <c r="G26" s="144"/>
      <c r="H26" s="147"/>
      <c r="I26" s="147"/>
      <c r="J26" s="146"/>
      <c r="K26" s="180"/>
    </row>
    <row r="27" spans="1:11" ht="12.75">
      <c r="A27" s="28">
        <v>10</v>
      </c>
      <c r="B27" s="145"/>
      <c r="C27" s="167"/>
      <c r="D27" s="146"/>
      <c r="E27" s="147"/>
      <c r="F27" s="148"/>
      <c r="G27" s="144"/>
      <c r="H27" s="147"/>
      <c r="I27" s="147"/>
      <c r="J27" s="146"/>
      <c r="K27" s="180"/>
    </row>
    <row r="28" spans="1:11" ht="12.75">
      <c r="A28" s="28">
        <v>11</v>
      </c>
      <c r="B28" s="145"/>
      <c r="C28" s="167"/>
      <c r="D28" s="146"/>
      <c r="E28" s="147"/>
      <c r="F28" s="148"/>
      <c r="G28" s="144"/>
      <c r="H28" s="147"/>
      <c r="I28" s="147"/>
      <c r="J28" s="146"/>
      <c r="K28" s="180"/>
    </row>
    <row r="29" spans="1:11" ht="12.75">
      <c r="A29" s="207">
        <v>12</v>
      </c>
      <c r="B29" s="145"/>
      <c r="C29" s="167"/>
      <c r="D29" s="146"/>
      <c r="E29" s="147"/>
      <c r="F29" s="148"/>
      <c r="G29" s="144"/>
      <c r="H29" s="147"/>
      <c r="I29" s="147"/>
      <c r="J29" s="146"/>
      <c r="K29" s="180"/>
    </row>
    <row r="30" spans="1:11" ht="12.75">
      <c r="A30" s="28">
        <v>13</v>
      </c>
      <c r="B30" s="145"/>
      <c r="C30" s="167"/>
      <c r="D30" s="146"/>
      <c r="E30" s="147"/>
      <c r="F30" s="148"/>
      <c r="G30" s="144"/>
      <c r="H30" s="147"/>
      <c r="I30" s="147"/>
      <c r="J30" s="146"/>
      <c r="K30" s="180"/>
    </row>
    <row r="31" spans="1:11" ht="12.75">
      <c r="A31" s="207">
        <v>14</v>
      </c>
      <c r="B31" s="145"/>
      <c r="C31" s="167"/>
      <c r="D31" s="146"/>
      <c r="E31" s="147"/>
      <c r="F31" s="148"/>
      <c r="G31" s="144"/>
      <c r="H31" s="4"/>
      <c r="I31" s="4"/>
      <c r="J31" s="34"/>
      <c r="K31" s="24"/>
    </row>
    <row r="32" spans="1:11" ht="12.75">
      <c r="A32" s="28">
        <v>15</v>
      </c>
      <c r="B32" s="145"/>
      <c r="C32" s="167"/>
      <c r="D32" s="146"/>
      <c r="E32" s="147"/>
      <c r="F32" s="148"/>
      <c r="G32" s="144"/>
      <c r="H32" s="4"/>
      <c r="I32" s="4"/>
      <c r="J32" s="34"/>
      <c r="K32" s="24"/>
    </row>
    <row r="33" spans="1:11" ht="12.75">
      <c r="A33" s="28">
        <v>16</v>
      </c>
      <c r="B33" s="168"/>
      <c r="C33" s="143"/>
      <c r="D33" s="151"/>
      <c r="E33" s="92"/>
      <c r="F33" s="152"/>
      <c r="G33" s="160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20000</v>
      </c>
      <c r="G36" s="44">
        <f>SUM(G18:G34)</f>
        <v>28553.620000000003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f>F18</f>
        <v>20000</v>
      </c>
      <c r="G37" s="42"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0</v>
      </c>
      <c r="G38" s="42">
        <f>G36-G37</f>
        <v>28553.620000000003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168544.06800000003</v>
      </c>
      <c r="G39" s="46">
        <f>G16-G36</f>
        <v>198399.91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90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B37:E37"/>
    <mergeCell ref="H38:J38"/>
    <mergeCell ref="A39:E39"/>
    <mergeCell ref="H39:J39"/>
    <mergeCell ref="H37:J37"/>
    <mergeCell ref="B38:E38"/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H6:H7"/>
    <mergeCell ref="A13:E13"/>
    <mergeCell ref="A36:E36"/>
    <mergeCell ref="A15:E15"/>
    <mergeCell ref="H15:J15"/>
    <mergeCell ref="A16:E16"/>
    <mergeCell ref="H16:J16"/>
    <mergeCell ref="H36:J36"/>
    <mergeCell ref="H13:J13"/>
    <mergeCell ref="K6:K7"/>
    <mergeCell ref="A9:K9"/>
    <mergeCell ref="A14:E14"/>
    <mergeCell ref="H14:J14"/>
    <mergeCell ref="G6:G7"/>
    <mergeCell ref="J6:J7"/>
    <mergeCell ref="A11:E11"/>
    <mergeCell ref="H11:J11"/>
    <mergeCell ref="A12:E12"/>
    <mergeCell ref="H12:J12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4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47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17</v>
      </c>
      <c r="D10" s="17">
        <v>5359.66</v>
      </c>
      <c r="E10" s="18" t="s">
        <v>6</v>
      </c>
      <c r="F10" s="19"/>
      <c r="G10" s="127"/>
      <c r="H10" s="11" t="s">
        <v>8</v>
      </c>
      <c r="I10" s="12">
        <v>1.6</v>
      </c>
      <c r="J10" s="13" t="s">
        <v>7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90000</v>
      </c>
      <c r="G11" s="44">
        <v>139845.83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D10*I10*12</f>
        <v>102905.47200000001</v>
      </c>
      <c r="G12" s="41">
        <v>102905.47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>
        <v>0</v>
      </c>
      <c r="H13" s="274"/>
      <c r="I13" s="275"/>
      <c r="J13" s="275"/>
      <c r="K13" s="53"/>
    </row>
    <row r="14" spans="1:11" s="40" customFormat="1" ht="12.75" customHeight="1">
      <c r="A14" s="276" t="s">
        <v>39</v>
      </c>
      <c r="B14" s="277"/>
      <c r="C14" s="277"/>
      <c r="D14" s="277"/>
      <c r="E14" s="277"/>
      <c r="F14" s="41">
        <v>0</v>
      </c>
      <c r="G14" s="41">
        <v>0</v>
      </c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>
        <v>14938.44</v>
      </c>
      <c r="H15" s="274" t="s">
        <v>264</v>
      </c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192905.472</v>
      </c>
      <c r="G16" s="45">
        <f>G11+G12+G13+G14+G15</f>
        <v>257689.74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93">
        <v>1</v>
      </c>
      <c r="B18" s="85" t="s">
        <v>18</v>
      </c>
      <c r="C18" s="94" t="s">
        <v>123</v>
      </c>
      <c r="D18" s="89"/>
      <c r="E18" s="89"/>
      <c r="F18" s="95">
        <v>50000</v>
      </c>
      <c r="G18" s="95">
        <v>0</v>
      </c>
      <c r="H18" s="89">
        <v>2015</v>
      </c>
      <c r="I18" s="89"/>
      <c r="J18" s="87" t="s">
        <v>3</v>
      </c>
      <c r="K18" s="240" t="s">
        <v>202</v>
      </c>
    </row>
    <row r="19" spans="1:11" ht="12.75">
      <c r="A19" s="29">
        <v>2</v>
      </c>
      <c r="B19" s="22"/>
      <c r="C19" s="30" t="s">
        <v>20</v>
      </c>
      <c r="D19" s="2"/>
      <c r="E19" s="2"/>
      <c r="F19" s="3">
        <v>10000</v>
      </c>
      <c r="G19" s="31"/>
      <c r="H19" s="4">
        <v>2015</v>
      </c>
      <c r="I19" s="4"/>
      <c r="J19" s="4" t="s">
        <v>4</v>
      </c>
      <c r="K19" s="169"/>
    </row>
    <row r="20" spans="1:11" ht="12.75">
      <c r="A20" s="29">
        <v>3</v>
      </c>
      <c r="B20" s="150" t="s">
        <v>173</v>
      </c>
      <c r="C20" s="150" t="s">
        <v>211</v>
      </c>
      <c r="D20" s="92"/>
      <c r="E20" s="92"/>
      <c r="F20" s="160"/>
      <c r="G20" s="233">
        <f>4813.56</f>
        <v>4813.56</v>
      </c>
      <c r="H20" s="147" t="s">
        <v>276</v>
      </c>
      <c r="I20" s="147"/>
      <c r="J20" s="146" t="s">
        <v>3</v>
      </c>
      <c r="K20" s="179"/>
    </row>
    <row r="21" spans="1:11" ht="12.75">
      <c r="A21" s="28">
        <v>4</v>
      </c>
      <c r="B21" s="150" t="s">
        <v>173</v>
      </c>
      <c r="C21" s="170" t="s">
        <v>239</v>
      </c>
      <c r="D21" s="147"/>
      <c r="E21" s="147"/>
      <c r="F21" s="144"/>
      <c r="G21" s="233">
        <f>1458+1782+3434.4</f>
        <v>6674.4</v>
      </c>
      <c r="H21" s="147" t="s">
        <v>277</v>
      </c>
      <c r="I21" s="147"/>
      <c r="J21" s="146" t="s">
        <v>3</v>
      </c>
      <c r="K21" s="180"/>
    </row>
    <row r="22" spans="1:11" ht="12.75">
      <c r="A22" s="28">
        <v>5</v>
      </c>
      <c r="B22" s="150" t="s">
        <v>173</v>
      </c>
      <c r="C22" s="167" t="s">
        <v>212</v>
      </c>
      <c r="D22" s="146"/>
      <c r="E22" s="147"/>
      <c r="F22" s="148"/>
      <c r="G22" s="233">
        <v>8974.8</v>
      </c>
      <c r="H22" s="147" t="s">
        <v>277</v>
      </c>
      <c r="I22" s="147"/>
      <c r="J22" s="146" t="s">
        <v>3</v>
      </c>
      <c r="K22" s="181"/>
    </row>
    <row r="23" spans="1:11" ht="12.75">
      <c r="A23" s="28">
        <v>6</v>
      </c>
      <c r="B23" s="150" t="s">
        <v>173</v>
      </c>
      <c r="C23" s="150" t="s">
        <v>213</v>
      </c>
      <c r="D23" s="151"/>
      <c r="E23" s="92"/>
      <c r="F23" s="152"/>
      <c r="G23" s="236">
        <v>1549.05</v>
      </c>
      <c r="H23" s="92" t="s">
        <v>279</v>
      </c>
      <c r="I23" s="92"/>
      <c r="J23" s="151" t="s">
        <v>3</v>
      </c>
      <c r="K23" s="180"/>
    </row>
    <row r="24" spans="1:11" ht="12.75">
      <c r="A24" s="80">
        <v>7</v>
      </c>
      <c r="B24" s="161" t="s">
        <v>173</v>
      </c>
      <c r="C24" s="162" t="s">
        <v>238</v>
      </c>
      <c r="D24" s="163"/>
      <c r="E24" s="164"/>
      <c r="F24" s="165"/>
      <c r="G24" s="239">
        <v>12025.4</v>
      </c>
      <c r="H24" s="164" t="s">
        <v>277</v>
      </c>
      <c r="I24" s="164"/>
      <c r="J24" s="182" t="s">
        <v>3</v>
      </c>
      <c r="K24" s="183"/>
    </row>
    <row r="25" spans="1:11" ht="12.75">
      <c r="A25" s="28">
        <v>8</v>
      </c>
      <c r="B25" s="145"/>
      <c r="C25" s="167"/>
      <c r="D25" s="146"/>
      <c r="E25" s="147"/>
      <c r="F25" s="148"/>
      <c r="G25" s="144"/>
      <c r="H25" s="147"/>
      <c r="I25" s="147"/>
      <c r="J25" s="151"/>
      <c r="K25" s="180"/>
    </row>
    <row r="26" spans="1:11" ht="12.75">
      <c r="A26" s="120">
        <v>9</v>
      </c>
      <c r="B26" s="145"/>
      <c r="C26" s="167"/>
      <c r="D26" s="146"/>
      <c r="E26" s="147"/>
      <c r="F26" s="148"/>
      <c r="G26" s="144"/>
      <c r="H26" s="147"/>
      <c r="I26" s="147"/>
      <c r="J26" s="146"/>
      <c r="K26" s="180"/>
    </row>
    <row r="27" spans="1:11" ht="12.75">
      <c r="A27" s="28">
        <v>10</v>
      </c>
      <c r="B27" s="145"/>
      <c r="C27" s="167"/>
      <c r="D27" s="146"/>
      <c r="E27" s="147"/>
      <c r="F27" s="148"/>
      <c r="G27" s="144"/>
      <c r="H27" s="147"/>
      <c r="I27" s="147"/>
      <c r="J27" s="146"/>
      <c r="K27" s="180"/>
    </row>
    <row r="28" spans="1:11" ht="12.75">
      <c r="A28" s="28">
        <v>11</v>
      </c>
      <c r="B28" s="145"/>
      <c r="C28" s="167"/>
      <c r="D28" s="146"/>
      <c r="E28" s="147"/>
      <c r="F28" s="148"/>
      <c r="G28" s="144"/>
      <c r="H28" s="147"/>
      <c r="I28" s="147"/>
      <c r="J28" s="146"/>
      <c r="K28" s="180"/>
    </row>
    <row r="29" spans="1:11" ht="12.75">
      <c r="A29" s="207">
        <v>12</v>
      </c>
      <c r="B29" s="145"/>
      <c r="C29" s="167"/>
      <c r="D29" s="146"/>
      <c r="E29" s="147"/>
      <c r="F29" s="148"/>
      <c r="G29" s="144"/>
      <c r="H29" s="147"/>
      <c r="I29" s="147"/>
      <c r="J29" s="146"/>
      <c r="K29" s="180"/>
    </row>
    <row r="30" spans="1:11" ht="12.75">
      <c r="A30" s="28">
        <v>13</v>
      </c>
      <c r="B30" s="145"/>
      <c r="C30" s="167"/>
      <c r="D30" s="146"/>
      <c r="E30" s="147"/>
      <c r="F30" s="148"/>
      <c r="G30" s="144"/>
      <c r="H30" s="147"/>
      <c r="I30" s="147"/>
      <c r="J30" s="146"/>
      <c r="K30" s="180"/>
    </row>
    <row r="31" spans="1:11" ht="12.75">
      <c r="A31" s="207">
        <v>14</v>
      </c>
      <c r="B31" s="145"/>
      <c r="C31" s="167"/>
      <c r="D31" s="146"/>
      <c r="E31" s="147"/>
      <c r="F31" s="148"/>
      <c r="G31" s="144"/>
      <c r="H31" s="147"/>
      <c r="I31" s="147"/>
      <c r="J31" s="146"/>
      <c r="K31" s="180"/>
    </row>
    <row r="32" spans="1:11" ht="12.75">
      <c r="A32" s="28">
        <v>15</v>
      </c>
      <c r="B32" s="145"/>
      <c r="C32" s="167"/>
      <c r="D32" s="146"/>
      <c r="E32" s="147"/>
      <c r="F32" s="148"/>
      <c r="G32" s="144"/>
      <c r="H32" s="147"/>
      <c r="I32" s="147"/>
      <c r="J32" s="146"/>
      <c r="K32" s="180"/>
    </row>
    <row r="33" spans="1:11" ht="12.75">
      <c r="A33" s="28">
        <v>16</v>
      </c>
      <c r="B33" s="168"/>
      <c r="C33" s="143"/>
      <c r="D33" s="151"/>
      <c r="E33" s="92"/>
      <c r="F33" s="152"/>
      <c r="G33" s="160"/>
      <c r="H33" s="92"/>
      <c r="I33" s="92"/>
      <c r="J33" s="151"/>
      <c r="K33" s="180"/>
    </row>
    <row r="34" spans="1:11" ht="13.5" thickBot="1">
      <c r="A34" s="101">
        <v>17</v>
      </c>
      <c r="B34" s="184"/>
      <c r="C34" s="185"/>
      <c r="D34" s="186"/>
      <c r="E34" s="187"/>
      <c r="F34" s="188"/>
      <c r="G34" s="189"/>
      <c r="H34" s="187"/>
      <c r="I34" s="187"/>
      <c r="J34" s="186"/>
      <c r="K34" s="190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60000</v>
      </c>
      <c r="G36" s="44">
        <f>SUM(G18:G34)</f>
        <v>34037.21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f>F19</f>
        <v>10000</v>
      </c>
      <c r="G37" s="42">
        <f>G19</f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50000</v>
      </c>
      <c r="G38" s="42">
        <f>G36-G37</f>
        <v>34037.21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132905.472</v>
      </c>
      <c r="G39" s="46">
        <f>G16-G36</f>
        <v>223652.53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91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A13:E13"/>
    <mergeCell ref="H13:J13"/>
    <mergeCell ref="I6:I7"/>
    <mergeCell ref="J6:J7"/>
    <mergeCell ref="F6:F7"/>
    <mergeCell ref="K6:K7"/>
    <mergeCell ref="H11:J11"/>
    <mergeCell ref="A12:E12"/>
    <mergeCell ref="H12:J12"/>
    <mergeCell ref="A9:K9"/>
    <mergeCell ref="G6:G7"/>
    <mergeCell ref="H6:H7"/>
    <mergeCell ref="A11:E11"/>
    <mergeCell ref="D6:D7"/>
    <mergeCell ref="E6:E7"/>
    <mergeCell ref="A36:E36"/>
    <mergeCell ref="H36:J36"/>
    <mergeCell ref="A14:E14"/>
    <mergeCell ref="H14:J14"/>
    <mergeCell ref="A15:E15"/>
    <mergeCell ref="H15:J15"/>
    <mergeCell ref="A16:E16"/>
    <mergeCell ref="H16:J16"/>
    <mergeCell ref="B37:E37"/>
    <mergeCell ref="H37:J37"/>
    <mergeCell ref="B38:E38"/>
    <mergeCell ref="H38:J38"/>
    <mergeCell ref="A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3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48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17</v>
      </c>
      <c r="D10" s="17">
        <v>18895.4</v>
      </c>
      <c r="E10" s="18" t="s">
        <v>6</v>
      </c>
      <c r="F10" s="19"/>
      <c r="G10" s="127"/>
      <c r="H10" s="11" t="s">
        <v>8</v>
      </c>
      <c r="I10" s="12">
        <v>1.6</v>
      </c>
      <c r="J10" s="13" t="s">
        <v>7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0</v>
      </c>
      <c r="G11" s="44">
        <v>-37718.15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D10*I10*12</f>
        <v>362791.68000000005</v>
      </c>
      <c r="G12" s="41">
        <f>111168+83566.08+83846.4+84211.2</f>
        <v>362791.68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>
        <v>0</v>
      </c>
      <c r="H13" s="274"/>
      <c r="I13" s="275"/>
      <c r="J13" s="275"/>
      <c r="K13" s="53"/>
    </row>
    <row r="14" spans="1:11" s="40" customFormat="1" ht="12.75" customHeight="1">
      <c r="A14" s="276" t="s">
        <v>39</v>
      </c>
      <c r="B14" s="277"/>
      <c r="C14" s="277"/>
      <c r="D14" s="277"/>
      <c r="E14" s="277"/>
      <c r="F14" s="41">
        <v>0</v>
      </c>
      <c r="G14" s="41">
        <v>0</v>
      </c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>
        <f>16137.89+12131.01+12171.7+12224.66</f>
        <v>52665.26000000001</v>
      </c>
      <c r="H15" s="274" t="s">
        <v>264</v>
      </c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362791.68000000005</v>
      </c>
      <c r="G16" s="45">
        <f>G11+G12+G13+G14+G15</f>
        <v>377738.79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93">
        <v>1</v>
      </c>
      <c r="B18" s="68" t="s">
        <v>124</v>
      </c>
      <c r="C18" s="94" t="s">
        <v>111</v>
      </c>
      <c r="D18" s="69" t="s">
        <v>125</v>
      </c>
      <c r="E18" s="68"/>
      <c r="F18" s="70">
        <v>70000</v>
      </c>
      <c r="G18" s="241">
        <f>10041.5+553.5+13757.6+553.5+13757.6+553.5+13757.6</f>
        <v>52974.799999999996</v>
      </c>
      <c r="H18" s="89" t="s">
        <v>276</v>
      </c>
      <c r="I18" s="89"/>
      <c r="J18" s="87" t="s">
        <v>3</v>
      </c>
      <c r="K18" s="174"/>
    </row>
    <row r="19" spans="1:11" ht="12.75">
      <c r="A19" s="29">
        <v>2</v>
      </c>
      <c r="B19" s="51" t="s">
        <v>141</v>
      </c>
      <c r="C19" s="22" t="s">
        <v>240</v>
      </c>
      <c r="D19" s="66" t="s">
        <v>126</v>
      </c>
      <c r="E19" s="51"/>
      <c r="F19" s="64">
        <v>160000</v>
      </c>
      <c r="G19" s="232">
        <v>145036.8</v>
      </c>
      <c r="H19" s="2" t="s">
        <v>277</v>
      </c>
      <c r="I19" s="2"/>
      <c r="J19" s="2" t="s">
        <v>3</v>
      </c>
      <c r="K19" s="134"/>
    </row>
    <row r="20" spans="1:11" ht="12.75">
      <c r="A20" s="29">
        <v>3</v>
      </c>
      <c r="B20" s="129" t="s">
        <v>132</v>
      </c>
      <c r="C20" s="22" t="s">
        <v>109</v>
      </c>
      <c r="D20" s="66" t="s">
        <v>133</v>
      </c>
      <c r="E20" s="51"/>
      <c r="F20" s="64">
        <f>412*75</f>
        <v>30900</v>
      </c>
      <c r="G20" s="232">
        <f>13921.74+14264.64</f>
        <v>28186.379999999997</v>
      </c>
      <c r="H20" s="2" t="s">
        <v>276</v>
      </c>
      <c r="I20" s="2"/>
      <c r="J20" s="130" t="s">
        <v>3</v>
      </c>
      <c r="K20" s="132"/>
    </row>
    <row r="21" spans="1:11" ht="12.75">
      <c r="A21" s="29">
        <v>4</v>
      </c>
      <c r="B21" s="22" t="s">
        <v>151</v>
      </c>
      <c r="C21" s="30" t="s">
        <v>152</v>
      </c>
      <c r="D21" s="66" t="s">
        <v>150</v>
      </c>
      <c r="E21" s="51"/>
      <c r="F21" s="64">
        <v>90000</v>
      </c>
      <c r="G21" s="232"/>
      <c r="H21" s="2">
        <v>2015</v>
      </c>
      <c r="I21" s="2"/>
      <c r="J21" s="130" t="s">
        <v>3</v>
      </c>
      <c r="K21" s="242" t="s">
        <v>283</v>
      </c>
    </row>
    <row r="22" spans="1:11" ht="12.75">
      <c r="A22" s="23">
        <v>5</v>
      </c>
      <c r="B22" s="30" t="s">
        <v>153</v>
      </c>
      <c r="C22" s="30" t="s">
        <v>148</v>
      </c>
      <c r="D22" s="66"/>
      <c r="E22" s="51"/>
      <c r="F22" s="64">
        <v>80000</v>
      </c>
      <c r="G22" s="232">
        <f>25567.83+31000</f>
        <v>56567.83</v>
      </c>
      <c r="H22" s="2" t="s">
        <v>279</v>
      </c>
      <c r="I22" s="2"/>
      <c r="J22" s="130" t="s">
        <v>3</v>
      </c>
      <c r="K22" s="24"/>
    </row>
    <row r="23" spans="1:11" ht="12.75">
      <c r="A23" s="23">
        <v>6</v>
      </c>
      <c r="B23" s="170"/>
      <c r="C23" s="30" t="s">
        <v>20</v>
      </c>
      <c r="D23" s="66"/>
      <c r="E23" s="51"/>
      <c r="F23" s="64">
        <v>10000</v>
      </c>
      <c r="G23" s="232"/>
      <c r="H23" s="2">
        <v>2015</v>
      </c>
      <c r="I23" s="2"/>
      <c r="J23" s="130" t="s">
        <v>4</v>
      </c>
      <c r="K23" s="24"/>
    </row>
    <row r="24" spans="1:11" ht="12.75">
      <c r="A24" s="28">
        <v>7</v>
      </c>
      <c r="B24" s="150" t="s">
        <v>174</v>
      </c>
      <c r="C24" s="150" t="s">
        <v>201</v>
      </c>
      <c r="D24" s="92"/>
      <c r="E24" s="92"/>
      <c r="F24" s="160"/>
      <c r="G24" s="236">
        <f>21950.58+12306.15</f>
        <v>34256.73</v>
      </c>
      <c r="H24" s="92" t="s">
        <v>276</v>
      </c>
      <c r="I24" s="2"/>
      <c r="J24" s="92" t="s">
        <v>3</v>
      </c>
      <c r="K24" s="171"/>
    </row>
    <row r="25" spans="1:11" ht="12.75">
      <c r="A25" s="28">
        <v>8</v>
      </c>
      <c r="B25" s="145" t="s">
        <v>176</v>
      </c>
      <c r="C25" s="167" t="s">
        <v>175</v>
      </c>
      <c r="D25" s="146"/>
      <c r="E25" s="147"/>
      <c r="F25" s="148"/>
      <c r="G25" s="233">
        <v>19680</v>
      </c>
      <c r="H25" s="92" t="s">
        <v>276</v>
      </c>
      <c r="I25" s="147"/>
      <c r="J25" s="151" t="s">
        <v>3</v>
      </c>
      <c r="K25" s="180"/>
    </row>
    <row r="26" spans="1:11" ht="12.75">
      <c r="A26" s="120">
        <v>9</v>
      </c>
      <c r="B26" s="145" t="s">
        <v>24</v>
      </c>
      <c r="C26" s="167" t="s">
        <v>203</v>
      </c>
      <c r="D26" s="146"/>
      <c r="E26" s="147"/>
      <c r="F26" s="148"/>
      <c r="G26" s="233">
        <v>434.88</v>
      </c>
      <c r="H26" s="92">
        <v>2015</v>
      </c>
      <c r="I26" s="147"/>
      <c r="J26" s="146" t="s">
        <v>4</v>
      </c>
      <c r="K26" s="180"/>
    </row>
    <row r="27" spans="1:11" ht="12.75">
      <c r="A27" s="28">
        <v>10</v>
      </c>
      <c r="B27" s="145" t="s">
        <v>178</v>
      </c>
      <c r="C27" s="150" t="s">
        <v>207</v>
      </c>
      <c r="D27" s="146"/>
      <c r="E27" s="147"/>
      <c r="F27" s="148"/>
      <c r="G27" s="233">
        <v>4849.2</v>
      </c>
      <c r="H27" s="92" t="s">
        <v>276</v>
      </c>
      <c r="I27" s="147"/>
      <c r="J27" s="146" t="s">
        <v>3</v>
      </c>
      <c r="K27" s="180"/>
    </row>
    <row r="28" spans="1:11" ht="12.75">
      <c r="A28" s="28">
        <v>11</v>
      </c>
      <c r="B28" s="145" t="s">
        <v>24</v>
      </c>
      <c r="C28" s="167" t="s">
        <v>214</v>
      </c>
      <c r="D28" s="146"/>
      <c r="E28" s="147"/>
      <c r="F28" s="148"/>
      <c r="G28" s="233">
        <f>490+291.6+166.87+540+540+648</f>
        <v>2676.4700000000003</v>
      </c>
      <c r="H28" s="92">
        <v>2015</v>
      </c>
      <c r="I28" s="147"/>
      <c r="J28" s="146" t="s">
        <v>3</v>
      </c>
      <c r="K28" s="180"/>
    </row>
    <row r="29" spans="1:11" ht="12.75">
      <c r="A29" s="207">
        <v>12</v>
      </c>
      <c r="B29" s="145" t="s">
        <v>141</v>
      </c>
      <c r="C29" s="167" t="s">
        <v>215</v>
      </c>
      <c r="D29" s="146"/>
      <c r="E29" s="147"/>
      <c r="F29" s="148"/>
      <c r="G29" s="233">
        <f>29766+500.61</f>
        <v>30266.61</v>
      </c>
      <c r="H29" s="92" t="s">
        <v>276</v>
      </c>
      <c r="I29" s="147"/>
      <c r="J29" s="146" t="s">
        <v>3</v>
      </c>
      <c r="K29" s="180"/>
    </row>
    <row r="30" spans="1:11" ht="12.75">
      <c r="A30" s="28">
        <v>13</v>
      </c>
      <c r="B30" s="168" t="s">
        <v>178</v>
      </c>
      <c r="C30" s="143" t="s">
        <v>216</v>
      </c>
      <c r="D30" s="151"/>
      <c r="E30" s="92"/>
      <c r="F30" s="152"/>
      <c r="G30" s="236">
        <v>7761.24</v>
      </c>
      <c r="H30" s="92" t="s">
        <v>282</v>
      </c>
      <c r="I30" s="92"/>
      <c r="J30" s="151" t="s">
        <v>3</v>
      </c>
      <c r="K30" s="180"/>
    </row>
    <row r="31" spans="1:11" ht="12.75">
      <c r="A31" s="207">
        <v>14</v>
      </c>
      <c r="B31" s="145" t="s">
        <v>24</v>
      </c>
      <c r="C31" s="167" t="s">
        <v>177</v>
      </c>
      <c r="D31" s="146"/>
      <c r="E31" s="147"/>
      <c r="F31" s="148"/>
      <c r="G31" s="233">
        <f>2384.64+2890.5</f>
        <v>5275.139999999999</v>
      </c>
      <c r="H31" s="92">
        <v>2015</v>
      </c>
      <c r="I31" s="147"/>
      <c r="J31" s="146" t="s">
        <v>3</v>
      </c>
      <c r="K31" s="180"/>
    </row>
    <row r="32" spans="1:11" ht="12.75">
      <c r="A32" s="28">
        <v>15</v>
      </c>
      <c r="B32" s="145"/>
      <c r="C32" s="167"/>
      <c r="D32" s="146"/>
      <c r="E32" s="147"/>
      <c r="F32" s="148"/>
      <c r="G32" s="236"/>
      <c r="H32" s="92"/>
      <c r="I32" s="147"/>
      <c r="J32" s="146"/>
      <c r="K32" s="180"/>
    </row>
    <row r="33" spans="1:11" ht="12.75">
      <c r="A33" s="28">
        <v>16</v>
      </c>
      <c r="B33" s="168"/>
      <c r="C33" s="143"/>
      <c r="D33" s="151"/>
      <c r="E33" s="92"/>
      <c r="F33" s="152"/>
      <c r="G33" s="206"/>
      <c r="H33" s="92"/>
      <c r="I33" s="92"/>
      <c r="J33" s="151"/>
      <c r="K33" s="180"/>
    </row>
    <row r="34" spans="1:11" ht="13.5" thickBot="1">
      <c r="A34" s="101">
        <v>17</v>
      </c>
      <c r="B34" s="184"/>
      <c r="C34" s="185"/>
      <c r="D34" s="186"/>
      <c r="E34" s="187"/>
      <c r="F34" s="188"/>
      <c r="G34" s="209"/>
      <c r="H34" s="187"/>
      <c r="I34" s="187"/>
      <c r="J34" s="186"/>
      <c r="K34" s="190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440900</v>
      </c>
      <c r="G36" s="44">
        <f>SUM(G18:G34)</f>
        <v>387966.07999999996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f>F23</f>
        <v>10000</v>
      </c>
      <c r="G37" s="42">
        <f>G26</f>
        <v>434.88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430900</v>
      </c>
      <c r="G38" s="42">
        <f>G36-G37</f>
        <v>387531.19999999995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-78108.31999999995</v>
      </c>
      <c r="G39" s="46">
        <f>G16-G36</f>
        <v>-10227.289999999979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92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A13:E13"/>
    <mergeCell ref="H13:J13"/>
    <mergeCell ref="I6:I7"/>
    <mergeCell ref="J6:J7"/>
    <mergeCell ref="F6:F7"/>
    <mergeCell ref="K6:K7"/>
    <mergeCell ref="H11:J11"/>
    <mergeCell ref="A12:E12"/>
    <mergeCell ref="H12:J12"/>
    <mergeCell ref="A9:K9"/>
    <mergeCell ref="G6:G7"/>
    <mergeCell ref="H6:H7"/>
    <mergeCell ref="A11:E11"/>
    <mergeCell ref="D6:D7"/>
    <mergeCell ref="E6:E7"/>
    <mergeCell ref="A36:E36"/>
    <mergeCell ref="H36:J36"/>
    <mergeCell ref="A14:E14"/>
    <mergeCell ref="H14:J14"/>
    <mergeCell ref="A15:E15"/>
    <mergeCell ref="H15:J15"/>
    <mergeCell ref="A16:E16"/>
    <mergeCell ref="H16:J16"/>
    <mergeCell ref="B37:E37"/>
    <mergeCell ref="H37:J37"/>
    <mergeCell ref="B38:E38"/>
    <mergeCell ref="H38:J38"/>
    <mergeCell ref="A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6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49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17</v>
      </c>
      <c r="D10" s="17">
        <v>15366.98</v>
      </c>
      <c r="E10" s="18" t="s">
        <v>6</v>
      </c>
      <c r="F10" s="19"/>
      <c r="G10" s="127"/>
      <c r="H10" s="11" t="s">
        <v>8</v>
      </c>
      <c r="I10" s="12">
        <v>1.7</v>
      </c>
      <c r="J10" s="13" t="s">
        <v>7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200000</v>
      </c>
      <c r="G11" s="44">
        <v>210892.06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D10*I10*12</f>
        <v>313486.392</v>
      </c>
      <c r="G12" s="41">
        <f>80072.04+68405.28+44984.04+85138.99+34886.04</f>
        <v>313486.39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/>
      <c r="H13" s="274"/>
      <c r="I13" s="275"/>
      <c r="J13" s="275"/>
      <c r="K13" s="53"/>
    </row>
    <row r="14" spans="1:11" s="40" customFormat="1" ht="12.75" customHeight="1">
      <c r="A14" s="276" t="s">
        <v>39</v>
      </c>
      <c r="B14" s="277"/>
      <c r="C14" s="277"/>
      <c r="D14" s="277"/>
      <c r="E14" s="277"/>
      <c r="F14" s="41">
        <v>0</v>
      </c>
      <c r="G14" s="41"/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/>
      <c r="H15" s="274"/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513486.392</v>
      </c>
      <c r="G16" s="45">
        <f>G11+G12+G13+G14+G15</f>
        <v>524378.45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138" t="s">
        <v>127</v>
      </c>
      <c r="C18" s="97" t="s">
        <v>119</v>
      </c>
      <c r="D18" s="86"/>
      <c r="E18" s="87"/>
      <c r="F18" s="98">
        <v>200000</v>
      </c>
      <c r="G18" s="142"/>
      <c r="H18" s="86">
        <v>2015</v>
      </c>
      <c r="I18" s="87"/>
      <c r="J18" s="99" t="s">
        <v>3</v>
      </c>
      <c r="K18" s="243" t="s">
        <v>284</v>
      </c>
    </row>
    <row r="19" spans="1:11" ht="12.75">
      <c r="A19" s="29">
        <v>2</v>
      </c>
      <c r="B19" s="27" t="s">
        <v>108</v>
      </c>
      <c r="C19" s="30" t="s">
        <v>128</v>
      </c>
      <c r="D19" s="4"/>
      <c r="E19" s="4"/>
      <c r="F19" s="31">
        <v>100000</v>
      </c>
      <c r="G19" s="210">
        <f>4180.22+6554.68+32939.4+36936</f>
        <v>80610.3</v>
      </c>
      <c r="H19" s="4">
        <v>2015</v>
      </c>
      <c r="I19" s="4"/>
      <c r="J19" s="34" t="s">
        <v>3</v>
      </c>
      <c r="K19" s="32"/>
    </row>
    <row r="20" spans="1:11" ht="12.75">
      <c r="A20" s="29">
        <v>3</v>
      </c>
      <c r="B20" s="30"/>
      <c r="C20" s="30" t="s">
        <v>20</v>
      </c>
      <c r="D20" s="76"/>
      <c r="E20" s="4"/>
      <c r="F20" s="31">
        <v>20000</v>
      </c>
      <c r="G20" s="202"/>
      <c r="H20" s="4">
        <v>2015</v>
      </c>
      <c r="I20" s="4"/>
      <c r="J20" s="2" t="s">
        <v>4</v>
      </c>
      <c r="K20" s="169"/>
    </row>
    <row r="21" spans="1:11" ht="12.75">
      <c r="A21" s="29">
        <v>4</v>
      </c>
      <c r="B21" s="216" t="s">
        <v>108</v>
      </c>
      <c r="C21" s="211" t="s">
        <v>179</v>
      </c>
      <c r="D21" s="212"/>
      <c r="E21" s="213"/>
      <c r="F21" s="203"/>
      <c r="G21" s="233">
        <f>1377.6+1377.6</f>
        <v>2755.2</v>
      </c>
      <c r="H21" s="213">
        <v>2015</v>
      </c>
      <c r="I21" s="213"/>
      <c r="J21" s="214" t="s">
        <v>3</v>
      </c>
      <c r="K21" s="179"/>
    </row>
    <row r="22" spans="1:11" ht="12.75">
      <c r="A22" s="29">
        <v>5</v>
      </c>
      <c r="B22" s="216" t="s">
        <v>108</v>
      </c>
      <c r="C22" s="211" t="s">
        <v>180</v>
      </c>
      <c r="D22" s="212"/>
      <c r="E22" s="213"/>
      <c r="F22" s="203"/>
      <c r="G22" s="233">
        <f>19515.95+2893.34</f>
        <v>22409.29</v>
      </c>
      <c r="H22" s="213" t="s">
        <v>277</v>
      </c>
      <c r="I22" s="213"/>
      <c r="J22" s="214" t="s">
        <v>3</v>
      </c>
      <c r="K22" s="179"/>
    </row>
    <row r="23" spans="1:11" ht="12.75">
      <c r="A23" s="23">
        <v>6</v>
      </c>
      <c r="B23" s="216" t="s">
        <v>108</v>
      </c>
      <c r="C23" s="211" t="s">
        <v>241</v>
      </c>
      <c r="D23" s="214"/>
      <c r="E23" s="214"/>
      <c r="F23" s="206"/>
      <c r="G23" s="236">
        <f>1476+2301.48</f>
        <v>3777.48</v>
      </c>
      <c r="H23" s="213">
        <v>2015</v>
      </c>
      <c r="I23" s="214"/>
      <c r="J23" s="215" t="s">
        <v>3</v>
      </c>
      <c r="K23" s="180"/>
    </row>
    <row r="24" spans="1:11" ht="12.75">
      <c r="A24" s="28">
        <v>7</v>
      </c>
      <c r="B24" s="216" t="s">
        <v>218</v>
      </c>
      <c r="C24" s="217" t="s">
        <v>214</v>
      </c>
      <c r="D24" s="215"/>
      <c r="E24" s="214"/>
      <c r="F24" s="204"/>
      <c r="G24" s="236">
        <f>745.1+810</f>
        <v>1555.1</v>
      </c>
      <c r="H24" s="213">
        <v>2015</v>
      </c>
      <c r="I24" s="214"/>
      <c r="J24" s="215" t="s">
        <v>3</v>
      </c>
      <c r="K24" s="180"/>
    </row>
    <row r="25" spans="1:11" ht="12.75">
      <c r="A25" s="28">
        <v>8</v>
      </c>
      <c r="B25" s="218" t="s">
        <v>242</v>
      </c>
      <c r="C25" s="219" t="s">
        <v>243</v>
      </c>
      <c r="D25" s="220"/>
      <c r="E25" s="213"/>
      <c r="F25" s="205"/>
      <c r="G25" s="233">
        <v>2203.2</v>
      </c>
      <c r="H25" s="213" t="s">
        <v>277</v>
      </c>
      <c r="I25" s="213"/>
      <c r="J25" s="215" t="s">
        <v>3</v>
      </c>
      <c r="K25" s="180"/>
    </row>
    <row r="26" spans="1:11" ht="12.75">
      <c r="A26" s="120">
        <v>9</v>
      </c>
      <c r="B26" s="218" t="s">
        <v>245</v>
      </c>
      <c r="C26" s="219" t="s">
        <v>244</v>
      </c>
      <c r="D26" s="220"/>
      <c r="E26" s="213"/>
      <c r="F26" s="205"/>
      <c r="G26" s="233">
        <v>7358.12</v>
      </c>
      <c r="H26" s="213" t="s">
        <v>277</v>
      </c>
      <c r="I26" s="213"/>
      <c r="J26" s="220" t="s">
        <v>3</v>
      </c>
      <c r="K26" s="180"/>
    </row>
    <row r="27" spans="1:11" ht="12.75">
      <c r="A27" s="28">
        <v>10</v>
      </c>
      <c r="B27" s="218" t="s">
        <v>245</v>
      </c>
      <c r="C27" s="219" t="s">
        <v>246</v>
      </c>
      <c r="D27" s="220"/>
      <c r="E27" s="213"/>
      <c r="F27" s="205"/>
      <c r="G27" s="233">
        <v>8933.5</v>
      </c>
      <c r="H27" s="213" t="s">
        <v>279</v>
      </c>
      <c r="I27" s="213"/>
      <c r="J27" s="220" t="s">
        <v>3</v>
      </c>
      <c r="K27" s="180"/>
    </row>
    <row r="28" spans="1:11" ht="12.75">
      <c r="A28" s="28">
        <v>11</v>
      </c>
      <c r="B28" s="218" t="s">
        <v>248</v>
      </c>
      <c r="C28" s="219" t="s">
        <v>247</v>
      </c>
      <c r="D28" s="220"/>
      <c r="E28" s="213"/>
      <c r="F28" s="205"/>
      <c r="G28" s="233">
        <v>1213.41</v>
      </c>
      <c r="H28" s="213" t="s">
        <v>279</v>
      </c>
      <c r="I28" s="213"/>
      <c r="J28" s="220" t="s">
        <v>3</v>
      </c>
      <c r="K28" s="180"/>
    </row>
    <row r="29" spans="1:11" ht="12.75">
      <c r="A29" s="207">
        <v>12</v>
      </c>
      <c r="B29" s="218"/>
      <c r="C29" s="219"/>
      <c r="D29" s="220"/>
      <c r="E29" s="213"/>
      <c r="F29" s="205"/>
      <c r="G29" s="203"/>
      <c r="H29" s="213"/>
      <c r="I29" s="213"/>
      <c r="J29" s="220"/>
      <c r="K29" s="180"/>
    </row>
    <row r="30" spans="1:11" ht="12.75">
      <c r="A30" s="28">
        <v>13</v>
      </c>
      <c r="B30" s="218"/>
      <c r="C30" s="219"/>
      <c r="D30" s="220"/>
      <c r="E30" s="213"/>
      <c r="F30" s="205"/>
      <c r="G30" s="203"/>
      <c r="H30" s="213"/>
      <c r="I30" s="213"/>
      <c r="J30" s="220"/>
      <c r="K30" s="180"/>
    </row>
    <row r="31" spans="1:11" ht="12.75">
      <c r="A31" s="207">
        <v>14</v>
      </c>
      <c r="B31" s="218"/>
      <c r="C31" s="219"/>
      <c r="D31" s="220"/>
      <c r="E31" s="213"/>
      <c r="F31" s="205"/>
      <c r="G31" s="203"/>
      <c r="H31" s="213"/>
      <c r="I31" s="213"/>
      <c r="J31" s="220"/>
      <c r="K31" s="180"/>
    </row>
    <row r="32" spans="1:11" ht="12.75">
      <c r="A32" s="28">
        <v>15</v>
      </c>
      <c r="B32" s="218"/>
      <c r="C32" s="219"/>
      <c r="D32" s="220"/>
      <c r="E32" s="213"/>
      <c r="F32" s="205"/>
      <c r="G32" s="203"/>
      <c r="H32" s="213"/>
      <c r="I32" s="213"/>
      <c r="J32" s="220"/>
      <c r="K32" s="180"/>
    </row>
    <row r="33" spans="1:11" ht="12.75">
      <c r="A33" s="28">
        <v>16</v>
      </c>
      <c r="B33" s="168"/>
      <c r="C33" s="143"/>
      <c r="D33" s="151"/>
      <c r="E33" s="92"/>
      <c r="F33" s="152"/>
      <c r="G33" s="160"/>
      <c r="H33" s="92"/>
      <c r="I33" s="92"/>
      <c r="J33" s="151"/>
      <c r="K33" s="180"/>
    </row>
    <row r="34" spans="1:11" ht="13.5" thickBot="1">
      <c r="A34" s="101">
        <v>17</v>
      </c>
      <c r="B34" s="184"/>
      <c r="C34" s="185"/>
      <c r="D34" s="186"/>
      <c r="E34" s="187"/>
      <c r="F34" s="188"/>
      <c r="G34" s="189"/>
      <c r="H34" s="187"/>
      <c r="I34" s="187"/>
      <c r="J34" s="186"/>
      <c r="K34" s="190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320000</v>
      </c>
      <c r="G36" s="44">
        <f>SUM(G18:G34)</f>
        <v>130815.6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f>F20+F22</f>
        <v>20000</v>
      </c>
      <c r="G37" s="42"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300000</v>
      </c>
      <c r="G38" s="42">
        <f>G36-G37</f>
        <v>130815.6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193486.392</v>
      </c>
      <c r="G39" s="46">
        <f>G16-G36</f>
        <v>393562.85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93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A13:E13"/>
    <mergeCell ref="H13:J13"/>
    <mergeCell ref="I6:I7"/>
    <mergeCell ref="J6:J7"/>
    <mergeCell ref="F6:F7"/>
    <mergeCell ref="K6:K7"/>
    <mergeCell ref="H11:J11"/>
    <mergeCell ref="A12:E12"/>
    <mergeCell ref="H12:J12"/>
    <mergeCell ref="A9:K9"/>
    <mergeCell ref="G6:G7"/>
    <mergeCell ref="H6:H7"/>
    <mergeCell ref="A11:E11"/>
    <mergeCell ref="D6:D7"/>
    <mergeCell ref="E6:E7"/>
    <mergeCell ref="A36:E36"/>
    <mergeCell ref="H36:J36"/>
    <mergeCell ref="A14:E14"/>
    <mergeCell ref="H14:J14"/>
    <mergeCell ref="A15:E15"/>
    <mergeCell ref="H15:J15"/>
    <mergeCell ref="A16:E16"/>
    <mergeCell ref="H16:J16"/>
    <mergeCell ref="H37:J37"/>
    <mergeCell ref="B38:E38"/>
    <mergeCell ref="H38:J38"/>
    <mergeCell ref="B37:E37"/>
    <mergeCell ref="A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7">
      <selection activeCell="J25" sqref="J2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50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17</v>
      </c>
      <c r="D10" s="17">
        <v>5787</v>
      </c>
      <c r="E10" s="18" t="s">
        <v>6</v>
      </c>
      <c r="F10" s="19"/>
      <c r="G10" s="127"/>
      <c r="H10" s="11" t="s">
        <v>8</v>
      </c>
      <c r="I10" s="12">
        <v>1.4</v>
      </c>
      <c r="J10" s="13" t="s">
        <v>7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30000</v>
      </c>
      <c r="G11" s="44">
        <v>11064.85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D10*I10*12</f>
        <v>97221.59999999999</v>
      </c>
      <c r="G12" s="41">
        <v>97221.5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>
        <v>0</v>
      </c>
      <c r="H13" s="274"/>
      <c r="I13" s="275"/>
      <c r="J13" s="275"/>
      <c r="K13" s="53"/>
    </row>
    <row r="14" spans="1:11" s="40" customFormat="1" ht="12.75" customHeight="1">
      <c r="A14" s="276" t="s">
        <v>39</v>
      </c>
      <c r="B14" s="277"/>
      <c r="C14" s="277"/>
      <c r="D14" s="277"/>
      <c r="E14" s="277"/>
      <c r="F14" s="41">
        <v>0</v>
      </c>
      <c r="G14" s="41">
        <v>0</v>
      </c>
      <c r="H14" s="274"/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>
        <v>16129.53</v>
      </c>
      <c r="H15" s="274" t="s">
        <v>264</v>
      </c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127221.59999999999</v>
      </c>
      <c r="G16" s="45">
        <f>G11+G12+G13+G14+G15</f>
        <v>124415.88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1">
        <v>1</v>
      </c>
      <c r="B18" s="94" t="s">
        <v>21</v>
      </c>
      <c r="C18" s="94" t="s">
        <v>154</v>
      </c>
      <c r="D18" s="89"/>
      <c r="E18" s="89"/>
      <c r="F18" s="95">
        <v>10000</v>
      </c>
      <c r="G18" s="241">
        <v>8610</v>
      </c>
      <c r="H18" s="89" t="s">
        <v>276</v>
      </c>
      <c r="I18" s="89"/>
      <c r="J18" s="89" t="s">
        <v>3</v>
      </c>
      <c r="K18" s="112"/>
    </row>
    <row r="19" spans="1:11" ht="12.75">
      <c r="A19" s="29">
        <v>2</v>
      </c>
      <c r="B19" s="30" t="s">
        <v>21</v>
      </c>
      <c r="C19" s="22" t="s">
        <v>109</v>
      </c>
      <c r="D19" s="4" t="s">
        <v>136</v>
      </c>
      <c r="E19" s="4"/>
      <c r="F19" s="31">
        <f>75*698</f>
        <v>52350</v>
      </c>
      <c r="G19" s="231">
        <v>40667.94</v>
      </c>
      <c r="H19" s="4" t="s">
        <v>276</v>
      </c>
      <c r="I19" s="4"/>
      <c r="J19" s="4" t="s">
        <v>3</v>
      </c>
      <c r="K19" s="32"/>
    </row>
    <row r="20" spans="1:11" ht="12.75">
      <c r="A20" s="29">
        <v>3</v>
      </c>
      <c r="B20" s="30"/>
      <c r="C20" s="30" t="s">
        <v>20</v>
      </c>
      <c r="D20" s="4"/>
      <c r="E20" s="4"/>
      <c r="F20" s="31">
        <v>10000</v>
      </c>
      <c r="G20" s="231"/>
      <c r="H20" s="4">
        <v>2015</v>
      </c>
      <c r="I20" s="4"/>
      <c r="J20" s="4" t="s">
        <v>4</v>
      </c>
      <c r="K20" s="32"/>
    </row>
    <row r="21" spans="1:11" ht="12.75">
      <c r="A21" s="29">
        <v>4</v>
      </c>
      <c r="B21" s="170" t="s">
        <v>21</v>
      </c>
      <c r="C21" s="170" t="s">
        <v>187</v>
      </c>
      <c r="D21" s="147"/>
      <c r="E21" s="147"/>
      <c r="F21" s="144"/>
      <c r="G21" s="233">
        <v>3886.76</v>
      </c>
      <c r="H21" s="147" t="s">
        <v>277</v>
      </c>
      <c r="I21" s="4"/>
      <c r="J21" s="92" t="s">
        <v>3</v>
      </c>
      <c r="K21" s="32"/>
    </row>
    <row r="22" spans="1:11" ht="12.75">
      <c r="A22" s="29">
        <v>5</v>
      </c>
      <c r="B22" s="170" t="s">
        <v>21</v>
      </c>
      <c r="C22" s="170" t="s">
        <v>188</v>
      </c>
      <c r="D22" s="147"/>
      <c r="E22" s="147"/>
      <c r="F22" s="144"/>
      <c r="G22" s="233">
        <v>4784.4</v>
      </c>
      <c r="H22" s="147" t="s">
        <v>276</v>
      </c>
      <c r="I22" s="4"/>
      <c r="J22" s="92" t="s">
        <v>3</v>
      </c>
      <c r="K22" s="32"/>
    </row>
    <row r="23" spans="1:11" ht="12.75">
      <c r="A23" s="23">
        <v>6</v>
      </c>
      <c r="B23" s="150" t="s">
        <v>21</v>
      </c>
      <c r="C23" s="150" t="s">
        <v>177</v>
      </c>
      <c r="D23" s="92"/>
      <c r="E23" s="92"/>
      <c r="F23" s="160"/>
      <c r="G23" s="236">
        <f>474.78+1836+1377.6+4071.3+250.3+250.3</f>
        <v>8260.28</v>
      </c>
      <c r="H23" s="147">
        <v>2015</v>
      </c>
      <c r="I23" s="2"/>
      <c r="J23" s="92" t="s">
        <v>3</v>
      </c>
      <c r="K23" s="24"/>
    </row>
    <row r="24" spans="1:11" ht="12.75">
      <c r="A24" s="28">
        <v>7</v>
      </c>
      <c r="B24" s="150" t="s">
        <v>21</v>
      </c>
      <c r="C24" s="143" t="s">
        <v>250</v>
      </c>
      <c r="D24" s="25"/>
      <c r="E24" s="2"/>
      <c r="F24" s="64"/>
      <c r="G24" s="236">
        <v>1533.6</v>
      </c>
      <c r="H24" s="92" t="s">
        <v>279</v>
      </c>
      <c r="I24" s="2"/>
      <c r="J24" s="92" t="s">
        <v>3</v>
      </c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202"/>
      <c r="H25" s="4"/>
      <c r="I25" s="4"/>
      <c r="J25" s="25"/>
      <c r="K25" s="24"/>
    </row>
    <row r="26" spans="1:11" ht="12.75">
      <c r="A26" s="120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07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07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72350</v>
      </c>
      <c r="G36" s="44">
        <f>SUM(G18:G34)</f>
        <v>67742.98000000001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f>F20</f>
        <v>10000</v>
      </c>
      <c r="G37" s="42">
        <f>G20</f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62350</v>
      </c>
      <c r="G38" s="42">
        <f>G36-G37</f>
        <v>67742.98000000001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54871.59999999999</v>
      </c>
      <c r="G39" s="46">
        <f>G16-G36</f>
        <v>56672.899999999994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94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K6:K7"/>
    <mergeCell ref="F6:F7"/>
    <mergeCell ref="H12:J12"/>
    <mergeCell ref="A13:E13"/>
    <mergeCell ref="H13:J13"/>
    <mergeCell ref="J6:J7"/>
    <mergeCell ref="H6:H7"/>
    <mergeCell ref="A12:E12"/>
    <mergeCell ref="A9:K9"/>
    <mergeCell ref="B38:E38"/>
    <mergeCell ref="D6:D7"/>
    <mergeCell ref="E6:E7"/>
    <mergeCell ref="A11:E11"/>
    <mergeCell ref="H11:J11"/>
    <mergeCell ref="H14:J14"/>
    <mergeCell ref="I6:I7"/>
    <mergeCell ref="H36:J36"/>
    <mergeCell ref="G6:G7"/>
    <mergeCell ref="A36:E36"/>
    <mergeCell ref="A14:E14"/>
    <mergeCell ref="H38:J38"/>
    <mergeCell ref="A39:E39"/>
    <mergeCell ref="A16:E16"/>
    <mergeCell ref="H16:J16"/>
    <mergeCell ref="H15:J15"/>
    <mergeCell ref="A15:E15"/>
    <mergeCell ref="H39:J39"/>
    <mergeCell ref="B37:E37"/>
    <mergeCell ref="H37:J3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4">
      <selection activeCell="G38" sqref="G38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285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155</v>
      </c>
      <c r="I2" s="10"/>
      <c r="J2" s="10"/>
      <c r="K2" s="10"/>
    </row>
    <row r="3" spans="1:12" ht="12.75" customHeight="1">
      <c r="A3" s="288" t="s">
        <v>117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38"/>
    </row>
    <row r="4" spans="1:11" ht="12.75" customHeight="1">
      <c r="A4" s="288" t="s">
        <v>235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90" t="s">
        <v>9</v>
      </c>
      <c r="B6" s="278" t="s">
        <v>0</v>
      </c>
      <c r="C6" s="278" t="s">
        <v>1</v>
      </c>
      <c r="D6" s="278" t="s">
        <v>10</v>
      </c>
      <c r="E6" s="278" t="s">
        <v>11</v>
      </c>
      <c r="F6" s="278" t="s">
        <v>12</v>
      </c>
      <c r="G6" s="292" t="s">
        <v>13</v>
      </c>
      <c r="H6" s="278" t="s">
        <v>14</v>
      </c>
      <c r="I6" s="278" t="s">
        <v>15</v>
      </c>
      <c r="J6" s="278" t="s">
        <v>16</v>
      </c>
      <c r="K6" s="280" t="s">
        <v>2</v>
      </c>
    </row>
    <row r="7" spans="1:11" ht="13.5" thickBot="1">
      <c r="A7" s="291"/>
      <c r="B7" s="279"/>
      <c r="C7" s="279"/>
      <c r="D7" s="279"/>
      <c r="E7" s="279"/>
      <c r="F7" s="279"/>
      <c r="G7" s="293"/>
      <c r="H7" s="279"/>
      <c r="I7" s="279"/>
      <c r="J7" s="279"/>
      <c r="K7" s="281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82" t="s">
        <v>51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</row>
    <row r="10" spans="1:11" s="14" customFormat="1" ht="12.75" customHeight="1" thickBot="1">
      <c r="A10" s="15"/>
      <c r="B10" s="16"/>
      <c r="C10" s="16" t="s">
        <v>17</v>
      </c>
      <c r="D10" s="17">
        <v>13611.2</v>
      </c>
      <c r="E10" s="18" t="s">
        <v>6</v>
      </c>
      <c r="F10" s="19"/>
      <c r="G10" s="127"/>
      <c r="H10" s="11" t="s">
        <v>8</v>
      </c>
      <c r="I10" s="12">
        <v>1.4</v>
      </c>
      <c r="J10" s="13" t="s">
        <v>7</v>
      </c>
      <c r="K10" s="20"/>
    </row>
    <row r="11" spans="1:11" s="14" customFormat="1" ht="13.5" customHeight="1">
      <c r="A11" s="268" t="s">
        <v>147</v>
      </c>
      <c r="B11" s="269"/>
      <c r="C11" s="269"/>
      <c r="D11" s="269"/>
      <c r="E11" s="269"/>
      <c r="F11" s="44">
        <v>100000</v>
      </c>
      <c r="G11" s="44">
        <v>163763.34</v>
      </c>
      <c r="H11" s="270"/>
      <c r="I11" s="271"/>
      <c r="J11" s="271"/>
      <c r="K11" s="91"/>
    </row>
    <row r="12" spans="1:11" s="14" customFormat="1" ht="13.5" customHeight="1">
      <c r="A12" s="272" t="s">
        <v>27</v>
      </c>
      <c r="B12" s="273"/>
      <c r="C12" s="273"/>
      <c r="D12" s="273"/>
      <c r="E12" s="273"/>
      <c r="F12" s="41">
        <f>D10*I10*12</f>
        <v>228668.16</v>
      </c>
      <c r="G12" s="41">
        <f>24746.4+24785.04+24793.44+24727.92+129615.36</f>
        <v>228668.16</v>
      </c>
      <c r="H12" s="274"/>
      <c r="I12" s="275"/>
      <c r="J12" s="275"/>
      <c r="K12" s="53"/>
    </row>
    <row r="13" spans="1:11" s="14" customFormat="1" ht="13.5" customHeight="1">
      <c r="A13" s="272" t="s">
        <v>35</v>
      </c>
      <c r="B13" s="273"/>
      <c r="C13" s="273"/>
      <c r="D13" s="273"/>
      <c r="E13" s="273"/>
      <c r="F13" s="41">
        <f>-(D10*12*0)</f>
        <v>0</v>
      </c>
      <c r="G13" s="41"/>
      <c r="H13" s="274"/>
      <c r="I13" s="275"/>
      <c r="J13" s="275"/>
      <c r="K13" s="53"/>
    </row>
    <row r="14" spans="1:11" s="40" customFormat="1" ht="12.75" customHeight="1">
      <c r="A14" s="276" t="s">
        <v>39</v>
      </c>
      <c r="B14" s="277"/>
      <c r="C14" s="277"/>
      <c r="D14" s="277"/>
      <c r="E14" s="277"/>
      <c r="F14" s="41">
        <v>0</v>
      </c>
      <c r="G14" s="41">
        <f>10901.08</f>
        <v>10901.08</v>
      </c>
      <c r="H14" s="274" t="s">
        <v>225</v>
      </c>
      <c r="I14" s="275"/>
      <c r="J14" s="275"/>
      <c r="K14" s="53"/>
    </row>
    <row r="15" spans="1:11" s="14" customFormat="1" ht="13.5" customHeight="1">
      <c r="A15" s="272" t="s">
        <v>82</v>
      </c>
      <c r="B15" s="273"/>
      <c r="C15" s="273"/>
      <c r="D15" s="273"/>
      <c r="E15" s="273"/>
      <c r="F15" s="41">
        <v>0</v>
      </c>
      <c r="G15" s="41">
        <f>4105.54+4111.96+4113.35+4102.48+21503.8</f>
        <v>37937.130000000005</v>
      </c>
      <c r="H15" s="274" t="s">
        <v>264</v>
      </c>
      <c r="I15" s="275"/>
      <c r="J15" s="275"/>
      <c r="K15" s="53"/>
    </row>
    <row r="16" spans="1:11" s="39" customFormat="1" ht="12.75" customHeight="1" thickBot="1">
      <c r="A16" s="252" t="s">
        <v>146</v>
      </c>
      <c r="B16" s="253"/>
      <c r="C16" s="253"/>
      <c r="D16" s="253"/>
      <c r="E16" s="253"/>
      <c r="F16" s="45">
        <f>F11+F12+F13+F14+F15</f>
        <v>328668.16000000003</v>
      </c>
      <c r="G16" s="45">
        <f>G11+G12+G13+G14+G15</f>
        <v>441269.71</v>
      </c>
      <c r="H16" s="254"/>
      <c r="I16" s="255"/>
      <c r="J16" s="255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1">
        <v>1</v>
      </c>
      <c r="B18" s="94" t="s">
        <v>156</v>
      </c>
      <c r="C18" s="94" t="s">
        <v>115</v>
      </c>
      <c r="D18" s="89"/>
      <c r="E18" s="89"/>
      <c r="F18" s="95">
        <v>300000</v>
      </c>
      <c r="G18" s="241">
        <f>22934.58</f>
        <v>22934.58</v>
      </c>
      <c r="H18" s="89">
        <v>2015</v>
      </c>
      <c r="I18" s="89"/>
      <c r="J18" s="89" t="s">
        <v>3</v>
      </c>
      <c r="K18" s="226" t="s">
        <v>252</v>
      </c>
    </row>
    <row r="19" spans="1:11" ht="12.75">
      <c r="A19" s="29">
        <v>2</v>
      </c>
      <c r="B19" s="30" t="s">
        <v>134</v>
      </c>
      <c r="C19" s="22" t="s">
        <v>109</v>
      </c>
      <c r="D19" s="4" t="s">
        <v>135</v>
      </c>
      <c r="E19" s="4"/>
      <c r="F19" s="31">
        <f>416*75</f>
        <v>31200</v>
      </c>
      <c r="G19" s="231">
        <f>7132.32+7749.54+7269.48+7269.48</f>
        <v>29420.82</v>
      </c>
      <c r="H19" s="4">
        <v>2015</v>
      </c>
      <c r="I19" s="2"/>
      <c r="J19" s="25" t="s">
        <v>3</v>
      </c>
      <c r="K19" s="32"/>
    </row>
    <row r="20" spans="1:11" ht="12.75">
      <c r="A20" s="29">
        <v>3</v>
      </c>
      <c r="B20" s="30"/>
      <c r="C20" s="30" t="s">
        <v>20</v>
      </c>
      <c r="D20" s="4"/>
      <c r="E20" s="4"/>
      <c r="F20" s="31">
        <v>10000</v>
      </c>
      <c r="G20" s="231"/>
      <c r="H20" s="4">
        <v>2015</v>
      </c>
      <c r="I20" s="2"/>
      <c r="J20" s="25" t="s">
        <v>4</v>
      </c>
      <c r="K20" s="32"/>
    </row>
    <row r="21" spans="1:11" ht="12.75">
      <c r="A21" s="29">
        <v>4</v>
      </c>
      <c r="B21" s="170" t="s">
        <v>221</v>
      </c>
      <c r="C21" s="170" t="s">
        <v>189</v>
      </c>
      <c r="D21" s="147"/>
      <c r="E21" s="147"/>
      <c r="F21" s="144"/>
      <c r="G21" s="233">
        <v>12232.62</v>
      </c>
      <c r="H21" s="147" t="s">
        <v>276</v>
      </c>
      <c r="I21" s="92"/>
      <c r="J21" s="151" t="s">
        <v>3</v>
      </c>
      <c r="K21" s="179"/>
    </row>
    <row r="22" spans="1:11" ht="12.75">
      <c r="A22" s="29">
        <v>5</v>
      </c>
      <c r="B22" s="170" t="s">
        <v>222</v>
      </c>
      <c r="C22" s="170" t="s">
        <v>169</v>
      </c>
      <c r="D22" s="147"/>
      <c r="E22" s="147"/>
      <c r="F22" s="144"/>
      <c r="G22" s="233">
        <f>200.01+979.2+1231.2</f>
        <v>2410.41</v>
      </c>
      <c r="H22" s="147">
        <v>2015</v>
      </c>
      <c r="I22" s="92"/>
      <c r="J22" s="151" t="s">
        <v>3</v>
      </c>
      <c r="K22" s="180"/>
    </row>
    <row r="23" spans="1:11" s="121" customFormat="1" ht="12.75">
      <c r="A23" s="120">
        <v>6</v>
      </c>
      <c r="B23" s="167" t="s">
        <v>223</v>
      </c>
      <c r="C23" s="167" t="s">
        <v>254</v>
      </c>
      <c r="D23" s="153"/>
      <c r="E23" s="153"/>
      <c r="F23" s="152"/>
      <c r="G23" s="235">
        <f>3351.75+1476+756+1890</f>
        <v>7473.75</v>
      </c>
      <c r="H23" s="147" t="s">
        <v>277</v>
      </c>
      <c r="I23" s="191"/>
      <c r="J23" s="191" t="s">
        <v>3</v>
      </c>
      <c r="K23" s="192"/>
    </row>
    <row r="24" spans="1:11" ht="12.75">
      <c r="A24" s="28">
        <v>7</v>
      </c>
      <c r="B24" s="145" t="s">
        <v>226</v>
      </c>
      <c r="C24" s="167" t="s">
        <v>224</v>
      </c>
      <c r="D24" s="146"/>
      <c r="E24" s="147"/>
      <c r="F24" s="148"/>
      <c r="G24" s="233">
        <f>10901.08+3247.2+1672.43</f>
        <v>15820.71</v>
      </c>
      <c r="H24" s="147">
        <v>2015</v>
      </c>
      <c r="I24" s="147"/>
      <c r="J24" s="173" t="s">
        <v>3</v>
      </c>
      <c r="K24" s="225" t="s">
        <v>251</v>
      </c>
    </row>
    <row r="25" spans="1:11" ht="12.75">
      <c r="A25" s="28">
        <v>8</v>
      </c>
      <c r="B25" s="170" t="s">
        <v>221</v>
      </c>
      <c r="C25" s="167" t="s">
        <v>253</v>
      </c>
      <c r="D25" s="146"/>
      <c r="E25" s="147"/>
      <c r="F25" s="148"/>
      <c r="G25" s="233">
        <v>3690</v>
      </c>
      <c r="H25" s="147" t="s">
        <v>279</v>
      </c>
      <c r="I25" s="147"/>
      <c r="J25" s="146" t="s">
        <v>3</v>
      </c>
      <c r="K25" s="180"/>
    </row>
    <row r="26" spans="1:11" ht="12.75">
      <c r="A26" s="120">
        <v>9</v>
      </c>
      <c r="B26" s="145" t="s">
        <v>255</v>
      </c>
      <c r="C26" s="167" t="s">
        <v>256</v>
      </c>
      <c r="D26" s="146"/>
      <c r="E26" s="147"/>
      <c r="F26" s="148"/>
      <c r="G26" s="233">
        <v>1911.5</v>
      </c>
      <c r="H26" s="147" t="s">
        <v>279</v>
      </c>
      <c r="I26" s="147"/>
      <c r="J26" s="146" t="s">
        <v>3</v>
      </c>
      <c r="K26" s="180"/>
    </row>
    <row r="27" spans="1:11" ht="12.75">
      <c r="A27" s="28">
        <v>10</v>
      </c>
      <c r="B27" s="145"/>
      <c r="C27" s="167"/>
      <c r="D27" s="146"/>
      <c r="E27" s="147"/>
      <c r="F27" s="148"/>
      <c r="G27" s="233"/>
      <c r="H27" s="147"/>
      <c r="I27" s="147"/>
      <c r="J27" s="146"/>
      <c r="K27" s="180"/>
    </row>
    <row r="28" spans="1:11" ht="12.75">
      <c r="A28" s="28">
        <v>11</v>
      </c>
      <c r="B28" s="145"/>
      <c r="C28" s="167"/>
      <c r="D28" s="146"/>
      <c r="E28" s="147"/>
      <c r="F28" s="148"/>
      <c r="G28" s="144"/>
      <c r="H28" s="147"/>
      <c r="I28" s="147"/>
      <c r="J28" s="146"/>
      <c r="K28" s="180"/>
    </row>
    <row r="29" spans="1:11" ht="12.75">
      <c r="A29" s="207">
        <v>12</v>
      </c>
      <c r="B29" s="145"/>
      <c r="C29" s="167"/>
      <c r="D29" s="146"/>
      <c r="E29" s="147"/>
      <c r="F29" s="148"/>
      <c r="G29" s="144"/>
      <c r="H29" s="147"/>
      <c r="I29" s="147"/>
      <c r="J29" s="146"/>
      <c r="K29" s="180"/>
    </row>
    <row r="30" spans="1:11" ht="12.75">
      <c r="A30" s="28">
        <v>13</v>
      </c>
      <c r="B30" s="145"/>
      <c r="C30" s="167"/>
      <c r="D30" s="146"/>
      <c r="E30" s="147"/>
      <c r="F30" s="148"/>
      <c r="G30" s="144"/>
      <c r="H30" s="147"/>
      <c r="I30" s="147"/>
      <c r="J30" s="146"/>
      <c r="K30" s="180"/>
    </row>
    <row r="31" spans="1:11" ht="12.75">
      <c r="A31" s="207">
        <v>14</v>
      </c>
      <c r="B31" s="145"/>
      <c r="C31" s="167"/>
      <c r="D31" s="146"/>
      <c r="E31" s="147"/>
      <c r="F31" s="148"/>
      <c r="G31" s="144"/>
      <c r="H31" s="147"/>
      <c r="I31" s="147"/>
      <c r="J31" s="146"/>
      <c r="K31" s="180"/>
    </row>
    <row r="32" spans="1:11" ht="12.75">
      <c r="A32" s="28">
        <v>15</v>
      </c>
      <c r="B32" s="145"/>
      <c r="C32" s="167"/>
      <c r="D32" s="146"/>
      <c r="E32" s="147"/>
      <c r="F32" s="148"/>
      <c r="G32" s="144"/>
      <c r="H32" s="147"/>
      <c r="I32" s="147"/>
      <c r="J32" s="146"/>
      <c r="K32" s="180"/>
    </row>
    <row r="33" spans="1:11" ht="12.75">
      <c r="A33" s="28">
        <v>16</v>
      </c>
      <c r="B33" s="168"/>
      <c r="C33" s="143"/>
      <c r="D33" s="151"/>
      <c r="E33" s="92"/>
      <c r="F33" s="152"/>
      <c r="G33" s="160"/>
      <c r="H33" s="92"/>
      <c r="I33" s="92"/>
      <c r="J33" s="151"/>
      <c r="K33" s="180"/>
    </row>
    <row r="34" spans="1:11" ht="13.5" thickBot="1">
      <c r="A34" s="101">
        <v>17</v>
      </c>
      <c r="B34" s="184"/>
      <c r="C34" s="185"/>
      <c r="D34" s="186"/>
      <c r="E34" s="187"/>
      <c r="F34" s="188"/>
      <c r="G34" s="189"/>
      <c r="H34" s="187"/>
      <c r="I34" s="187"/>
      <c r="J34" s="186"/>
      <c r="K34" s="190"/>
    </row>
    <row r="35" spans="1:11" ht="13.5" thickBot="1">
      <c r="A35" s="77"/>
      <c r="B35" s="78"/>
      <c r="C35" s="43"/>
      <c r="D35" s="79"/>
      <c r="E35" s="21"/>
      <c r="F35" s="75"/>
      <c r="G35" s="36"/>
      <c r="H35" s="21"/>
      <c r="I35" s="21"/>
      <c r="J35" s="79"/>
      <c r="K35" s="47"/>
    </row>
    <row r="36" spans="1:11" s="14" customFormat="1" ht="13.5" customHeight="1">
      <c r="A36" s="268" t="s">
        <v>208</v>
      </c>
      <c r="B36" s="269"/>
      <c r="C36" s="269"/>
      <c r="D36" s="269"/>
      <c r="E36" s="269"/>
      <c r="F36" s="44">
        <f>SUM(F18:F34)</f>
        <v>341200</v>
      </c>
      <c r="G36" s="44">
        <f>SUM(G18:G34)</f>
        <v>95894.39000000001</v>
      </c>
      <c r="H36" s="270"/>
      <c r="I36" s="271"/>
      <c r="J36" s="271"/>
      <c r="K36" s="91"/>
    </row>
    <row r="37" spans="1:11" s="14" customFormat="1" ht="13.5" customHeight="1">
      <c r="A37" s="109"/>
      <c r="B37" s="260" t="s">
        <v>4</v>
      </c>
      <c r="C37" s="261"/>
      <c r="D37" s="262"/>
      <c r="E37" s="263"/>
      <c r="F37" s="42">
        <f>F20</f>
        <v>10000</v>
      </c>
      <c r="G37" s="42">
        <v>0</v>
      </c>
      <c r="H37" s="264"/>
      <c r="I37" s="265"/>
      <c r="J37" s="265"/>
      <c r="K37" s="55"/>
    </row>
    <row r="38" spans="1:11" s="14" customFormat="1" ht="13.5" customHeight="1">
      <c r="A38" s="109"/>
      <c r="B38" s="258" t="s">
        <v>3</v>
      </c>
      <c r="C38" s="258"/>
      <c r="D38" s="259"/>
      <c r="E38" s="259"/>
      <c r="F38" s="42">
        <f>F36-F37</f>
        <v>331200</v>
      </c>
      <c r="G38" s="42">
        <f>G36-G37</f>
        <v>95894.39000000001</v>
      </c>
      <c r="H38" s="256"/>
      <c r="I38" s="257"/>
      <c r="J38" s="257"/>
      <c r="K38" s="35"/>
    </row>
    <row r="39" spans="1:11" s="14" customFormat="1" ht="13.5" customHeight="1" thickBot="1">
      <c r="A39" s="266" t="s">
        <v>237</v>
      </c>
      <c r="B39" s="267"/>
      <c r="C39" s="267"/>
      <c r="D39" s="267"/>
      <c r="E39" s="267"/>
      <c r="F39" s="46">
        <f>F16-F36</f>
        <v>-12531.839999999967</v>
      </c>
      <c r="G39" s="46">
        <f>G16-G36</f>
        <v>345375.32</v>
      </c>
      <c r="H39" s="254"/>
      <c r="I39" s="255"/>
      <c r="J39" s="255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95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G6:G7"/>
    <mergeCell ref="A36:E36"/>
    <mergeCell ref="K6:K7"/>
    <mergeCell ref="F6:F7"/>
    <mergeCell ref="J6:J7"/>
    <mergeCell ref="H6:H7"/>
    <mergeCell ref="H16:J16"/>
    <mergeCell ref="E6:E7"/>
    <mergeCell ref="A11:E11"/>
    <mergeCell ref="H11:J11"/>
    <mergeCell ref="A14:E14"/>
    <mergeCell ref="H12:J12"/>
    <mergeCell ref="A13:E13"/>
    <mergeCell ref="H13:J13"/>
    <mergeCell ref="H15:J15"/>
    <mergeCell ref="A15:E15"/>
    <mergeCell ref="A9:K9"/>
    <mergeCell ref="H14:J14"/>
    <mergeCell ref="H39:J39"/>
    <mergeCell ref="B37:E37"/>
    <mergeCell ref="H37:J37"/>
    <mergeCell ref="B38:E38"/>
    <mergeCell ref="I6:I7"/>
    <mergeCell ref="A12:E12"/>
    <mergeCell ref="H38:J38"/>
    <mergeCell ref="A39:E39"/>
    <mergeCell ref="A16:E16"/>
    <mergeCell ref="H36:J36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techniczny_nowy</dc:creator>
  <cp:keywords/>
  <dc:description/>
  <cp:lastModifiedBy>Jacek Zarychta</cp:lastModifiedBy>
  <cp:lastPrinted>2016-03-08T11:19:33Z</cp:lastPrinted>
  <dcterms:created xsi:type="dcterms:W3CDTF">2010-10-22T05:56:20Z</dcterms:created>
  <dcterms:modified xsi:type="dcterms:W3CDTF">2016-08-05T11:42:42Z</dcterms:modified>
  <cp:category/>
  <cp:version/>
  <cp:contentType/>
  <cp:contentStatus/>
</cp:coreProperties>
</file>